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fainstitute-my.sharepoint.com/personal/island_mastara_cfainstitute_org/Documents/"/>
    </mc:Choice>
  </mc:AlternateContent>
  <xr:revisionPtr revIDLastSave="0" documentId="8_{DE53805A-7F68-41CE-8A09-4D153136AB9E}" xr6:coauthVersionLast="47" xr6:coauthVersionMax="47" xr10:uidLastSave="{00000000-0000-0000-0000-000000000000}"/>
  <bookViews>
    <workbookView xWindow="-110" yWindow="-110" windowWidth="19420" windowHeight="11500" firstSheet="2" activeTab="2" xr2:uid="{85197756-E32C-4A8E-A64D-EF09BDF605AB}"/>
  </bookViews>
  <sheets>
    <sheet name="WithEmployer Stock" sheetId="1" r:id="rId1"/>
    <sheet name="NoEmployer Stock_5_95" sheetId="2" r:id="rId2"/>
    <sheet name="Overview" sheetId="8" r:id="rId3"/>
    <sheet name="Estimator" sheetId="6" r:id="rId4"/>
    <sheet name="DropDownMenus" sheetId="7" state="hidden" r:id="rId5"/>
    <sheet name="AllocsTab" sheetId="12" state="hidden" r:id="rId6"/>
    <sheet name="CMAs" sheetId="9" state="hidden" r:id="rId7"/>
    <sheet name="SalParamsTab" sheetId="10" state="hidden" r:id="rId8"/>
    <sheet name="SIMultLookUpTab" sheetId="11" state="hidden" r:id="rId9"/>
  </sheets>
  <externalReferences>
    <externalReference r:id="rId10"/>
  </externalReferences>
  <definedNames>
    <definedName name="ACNames">CMAs!$B$2:$B$9</definedName>
    <definedName name="Age" localSheetId="7">[1]ParamsTab!$B$1</definedName>
    <definedName name="Age" localSheetId="8">[1]ParamsTab!$B$1</definedName>
    <definedName name="age">Estimator!$B$12</definedName>
    <definedName name="AggrCovMat">CMAs!$E$20:$G$22</definedName>
    <definedName name="AggrMat">CMAs!$E$2:$G$9</definedName>
    <definedName name="AnnStartAge">[1]ParamsTab!$B$9</definedName>
    <definedName name="Beq">Estimator!$D$10</definedName>
    <definedName name="BetaC">CMAs!$J$9</definedName>
    <definedName name="BMax">[1]ParamsTab!$C$16</definedName>
    <definedName name="cBar">[1]ParamsTab!$B$10</definedName>
    <definedName name="cMax">[1]Data!$B$102</definedName>
    <definedName name="Contrib">Estimator!$B$9</definedName>
    <definedName name="CovEqHC">CMAs!$H$24</definedName>
    <definedName name="CovEqLiab">CMAs!$I$24</definedName>
    <definedName name="CovMat">CMAs!$W$2:$AD$9</definedName>
    <definedName name="Delta0">DropDownMenus!$B$23</definedName>
    <definedName name="DeltaX1">[1]FrontierData!$G$10</definedName>
    <definedName name="DeltaX2">[1]FrontierData!$O$10</definedName>
    <definedName name="DeltaX3">[1]FrontierData!$V$10</definedName>
    <definedName name="DeltaY1">[1]FrontierData!$H$10</definedName>
    <definedName name="DeltaY2">[1]FrontierData!$P$10</definedName>
    <definedName name="DeltaY3">[1]FrontierData!$W$10</definedName>
    <definedName name="Div">[1]ParamsTab!$B$18</definedName>
    <definedName name="Educ">Estimator!$B$16</definedName>
    <definedName name="EducLevels" localSheetId="8">[1]SalParamsTab!$A$3:$A$6</definedName>
    <definedName name="EducLevels">SalParamsTab!$A$3:$A$6</definedName>
    <definedName name="EqHC">DropDownMenus!$K$7</definedName>
    <definedName name="EqModel">CMAs!$D$20:$D$22</definedName>
    <definedName name="F0">Estimator!$D$5</definedName>
    <definedName name="FDAllocs">AllocsTab!$B$9:$D$9</definedName>
    <definedName name="FILiab">CMAs!$I$22</definedName>
    <definedName name="Flex">Estimator!$B$17</definedName>
    <definedName name="FPAllocs">AllocsTab!$B$8:$D$8</definedName>
    <definedName name="g">[1]ParamsTab!$B$21</definedName>
    <definedName name="gamma">DropDownMenus!$E$15</definedName>
    <definedName name="gammaIGE">[1]ParamsTab!$B$13</definedName>
    <definedName name="Genders" localSheetId="8">[1]SalParamsTab!$A$9:$A$10</definedName>
    <definedName name="Genders">SalParamsTab!$A$9:$A$10</definedName>
    <definedName name="h">CMAs!$D$18</definedName>
    <definedName name="H0">Estimator!$D$6</definedName>
    <definedName name="HCFracDomEq">CMAs!$H$13</definedName>
    <definedName name="HCModel">CMAs!$H$20:$H$22</definedName>
    <definedName name="HDAllocs">Estimator!$F$20:$H$20</definedName>
    <definedName name="InvParams" localSheetId="7">[1]ParamsTab!$D$1:$D$15</definedName>
    <definedName name="InvParams" localSheetId="8">[1]ParamsTab!$D$1:$D$15</definedName>
    <definedName name="InvParams">DropDownMenus!$B$2:$B$16</definedName>
    <definedName name="kc">CMAs!$I$25</definedName>
    <definedName name="ky">CMAs!$H$25</definedName>
    <definedName name="L0">Estimator!$D$7</definedName>
    <definedName name="LDAllocs">Estimator!$L$39:$N$39</definedName>
    <definedName name="LiabModel">CMAs!$I$20:$I$22</definedName>
    <definedName name="MatchPerc">Estimator!$B$10</definedName>
    <definedName name="MaxBeq">DropDownMenus!$B$21</definedName>
    <definedName name="MaxConsump">DropDownMenus!$B$22</definedName>
    <definedName name="MaxMatch">[1]ParamsTab!$B$17</definedName>
    <definedName name="MuRef">CMAs!$D$14</definedName>
    <definedName name="NondiscConsump">Estimator!$B$11</definedName>
    <definedName name="omega">CMAs!$D$16</definedName>
    <definedName name="phi">DropDownMenus!$H$15</definedName>
    <definedName name="PhiCMAs">CMAs!$W$15</definedName>
    <definedName name="PriceLI">DropDownMenus!$B$20</definedName>
    <definedName name="PVNondiscConsump">DropDownMenus!$B$18</definedName>
    <definedName name="RefPort">CMAs!$D$2:$D$9</definedName>
    <definedName name="retireAge">Estimator!$B$13</definedName>
    <definedName name="rf">CMAs!$D$15</definedName>
    <definedName name="rho">[1]ParamsTab!$B$11</definedName>
    <definedName name="RiskHC">Estimator!$B$8</definedName>
    <definedName name="RiskTol">Estimator!$B$3</definedName>
    <definedName name="RiskyHC">DropDownMenus!$B$19</definedName>
    <definedName name="rr">[1]ParamsTab!$B$20</definedName>
    <definedName name="Salary">Estimator!$B$7</definedName>
    <definedName name="SalCoefs" localSheetId="8">[1]SalParamsTab!$C$3:$J$7</definedName>
    <definedName name="SalCoefs">SalParamsTab!$C$3:$J$7</definedName>
    <definedName name="sex">Estimator!$B$14</definedName>
    <definedName name="SIMultLookUp">SIMultLookUpTab!$A$2:$B$34</definedName>
    <definedName name="Stds">CMAs!$L$2:$L$9</definedName>
    <definedName name="StrengthBeq">Estimator!$B$18</definedName>
    <definedName name="SubjLifeExp">Estimator!$B$15</definedName>
    <definedName name="theta">DropDownMenus!$E$7</definedName>
    <definedName name="VarRefPort">CMAs!$W$14</definedName>
    <definedName name="W0">Estimator!$D$8</definedName>
    <definedName name="WDAllocs">Estimator!$L$21:$N$21</definedName>
    <definedName name="WPAllocs">AllocsTab!$B$11:$D$11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6" l="1" a="1"/>
  <c r="F18" i="6" s="1"/>
  <c r="D15" i="6" s="1"/>
  <c r="D5" i="6"/>
  <c r="D7" i="7"/>
  <c r="E7" i="7" s="1" a="1"/>
  <c r="E7" i="7" s="1"/>
  <c r="D17" i="9" s="1"/>
  <c r="D18" i="9" s="1"/>
  <c r="F2" i="10"/>
  <c r="H2" i="10" s="1"/>
  <c r="J2" i="10" s="1"/>
  <c r="E2" i="10"/>
  <c r="G2" i="10" s="1"/>
  <c r="I2" i="10" s="1"/>
  <c r="I1" i="10"/>
  <c r="G1" i="10"/>
  <c r="E1" i="10"/>
  <c r="C1" i="10"/>
  <c r="B16" i="7"/>
  <c r="G15" i="7"/>
  <c r="H15" i="7" s="1" a="1"/>
  <c r="H15" i="7" s="1"/>
  <c r="B15" i="7" s="1"/>
  <c r="D15" i="7"/>
  <c r="E15" i="7" s="1" a="1"/>
  <c r="E15" i="7" s="1"/>
  <c r="B14" i="7" s="1"/>
  <c r="B11" i="7"/>
  <c r="B9" i="7"/>
  <c r="B10" i="7"/>
  <c r="B8" i="7"/>
  <c r="B7" i="7"/>
  <c r="B6" i="7"/>
  <c r="M7" i="7"/>
  <c r="B5" i="7" s="1"/>
  <c r="G7" i="7"/>
  <c r="H7" i="7" s="1" a="1"/>
  <c r="H7" i="7" s="1"/>
  <c r="B4" i="7" s="1"/>
  <c r="O7" i="7"/>
  <c r="B3" i="7" s="1"/>
  <c r="B2" i="7"/>
  <c r="H20" i="6" a="1"/>
  <c r="B23" i="7" a="1"/>
  <c r="B22" i="7" a="1"/>
  <c r="H34" i="6" a="1"/>
  <c r="B20" i="7" a="1"/>
  <c r="B21" i="7" a="1"/>
  <c r="B21" i="7" l="1"/>
  <c r="H18" i="6"/>
  <c r="F15" i="6" s="1"/>
  <c r="G18" i="6"/>
  <c r="E15" i="6" s="1"/>
  <c r="H34" i="6"/>
  <c r="B23" i="7"/>
  <c r="B22" i="7"/>
  <c r="B20" i="7"/>
  <c r="H20" i="6"/>
  <c r="J7" i="7"/>
  <c r="K7" i="7" s="1" a="1"/>
  <c r="K7" i="7" s="1"/>
  <c r="H13" i="9"/>
  <c r="I20" i="9"/>
  <c r="I21" i="9"/>
  <c r="I22" i="9"/>
  <c r="F10" i="9"/>
  <c r="G10" i="9"/>
  <c r="H10" i="9"/>
  <c r="I10" i="9"/>
  <c r="E11" i="9"/>
  <c r="G11" i="9"/>
  <c r="H11" i="9"/>
  <c r="I11" i="9"/>
  <c r="E12" i="9"/>
  <c r="F12" i="9"/>
  <c r="H12" i="9"/>
  <c r="I12" i="9"/>
  <c r="D21" i="9"/>
  <c r="D20" i="9"/>
  <c r="B21" i="9"/>
  <c r="B22" i="9"/>
  <c r="B20" i="9"/>
  <c r="G3" i="9"/>
  <c r="G4" i="9"/>
  <c r="G5" i="9"/>
  <c r="G2" i="9"/>
  <c r="F3" i="9"/>
  <c r="F6" i="9"/>
  <c r="F7" i="9"/>
  <c r="F8" i="9"/>
  <c r="F9" i="9"/>
  <c r="F2" i="9"/>
  <c r="D11" i="9"/>
  <c r="F4" i="9" s="1"/>
  <c r="E4" i="9"/>
  <c r="E5" i="9"/>
  <c r="E6" i="9"/>
  <c r="E7" i="9"/>
  <c r="E8" i="9"/>
  <c r="E9" i="9"/>
  <c r="D10" i="9"/>
  <c r="E3" i="9" s="1"/>
  <c r="D10" i="6" a="1"/>
  <c r="D10" i="6" l="1"/>
  <c r="H23" i="6"/>
  <c r="N19" i="6"/>
  <c r="H20" i="9"/>
  <c r="H22" i="9"/>
  <c r="H21" i="9"/>
  <c r="F5" i="9"/>
  <c r="F11" i="9" s="1"/>
  <c r="E2" i="9"/>
  <c r="E10" i="9" s="1"/>
  <c r="N33" i="6" l="1"/>
  <c r="N39" i="6" s="1"/>
  <c r="N21" i="6" s="1"/>
  <c r="N23" i="6" s="1"/>
  <c r="D12" i="9"/>
  <c r="T8" i="9"/>
  <c r="T7" i="9"/>
  <c r="S7" i="9"/>
  <c r="T6" i="9"/>
  <c r="S6" i="9"/>
  <c r="R6" i="9"/>
  <c r="T5" i="9"/>
  <c r="S5" i="9"/>
  <c r="R5" i="9"/>
  <c r="Q5" i="9"/>
  <c r="T4" i="9"/>
  <c r="S4" i="9"/>
  <c r="R4" i="9"/>
  <c r="Q4" i="9"/>
  <c r="P4" i="9"/>
  <c r="T3" i="9"/>
  <c r="S3" i="9"/>
  <c r="R3" i="9"/>
  <c r="Q3" i="9"/>
  <c r="P3" i="9"/>
  <c r="O3" i="9"/>
  <c r="T2" i="9"/>
  <c r="S2" i="9"/>
  <c r="R2" i="9"/>
  <c r="Q2" i="9"/>
  <c r="P2" i="9"/>
  <c r="O2" i="9"/>
  <c r="N2" i="9"/>
  <c r="W1" i="9" a="1"/>
  <c r="AD1" i="9" s="1"/>
  <c r="M1" i="9" a="1"/>
  <c r="T1" i="9" s="1"/>
  <c r="G6" i="9" l="1"/>
  <c r="G7" i="9"/>
  <c r="G8" i="9"/>
  <c r="G9" i="9"/>
  <c r="Q1" i="9"/>
  <c r="R1" i="9"/>
  <c r="M1" i="9"/>
  <c r="N1" i="9"/>
  <c r="AD4" i="9"/>
  <c r="AD3" i="9"/>
  <c r="AD5" i="9"/>
  <c r="AD2" i="9"/>
  <c r="AD8" i="9"/>
  <c r="AD7" i="9"/>
  <c r="AD9" i="9"/>
  <c r="AD6" i="9"/>
  <c r="W1" i="9"/>
  <c r="AA1" i="9"/>
  <c r="O1" i="9"/>
  <c r="S1" i="9"/>
  <c r="X1" i="9"/>
  <c r="AB1" i="9"/>
  <c r="P1" i="9"/>
  <c r="Y1" i="9"/>
  <c r="AC1" i="9"/>
  <c r="Z1" i="9"/>
  <c r="G12" i="9" l="1"/>
  <c r="AC9" i="9"/>
  <c r="AC6" i="9"/>
  <c r="AC4" i="9"/>
  <c r="AC3" i="9"/>
  <c r="AC5" i="9"/>
  <c r="AC2" i="9"/>
  <c r="AC8" i="9"/>
  <c r="AC7" i="9"/>
  <c r="AB8" i="9"/>
  <c r="AB7" i="9"/>
  <c r="AB9" i="9"/>
  <c r="AB6" i="9"/>
  <c r="AB4" i="9"/>
  <c r="AB3" i="9"/>
  <c r="AB5" i="9"/>
  <c r="AB2" i="9"/>
  <c r="AA5" i="9"/>
  <c r="AA2" i="9"/>
  <c r="AA8" i="9"/>
  <c r="AA7" i="9"/>
  <c r="AA9" i="9"/>
  <c r="AA6" i="9"/>
  <c r="AA4" i="9"/>
  <c r="AA3" i="9"/>
  <c r="Z4" i="9"/>
  <c r="Z3" i="9"/>
  <c r="Z5" i="9"/>
  <c r="Z2" i="9"/>
  <c r="Z8" i="9"/>
  <c r="Z7" i="9"/>
  <c r="Z9" i="9"/>
  <c r="Z6" i="9"/>
  <c r="Y9" i="9"/>
  <c r="Y6" i="9"/>
  <c r="Y4" i="9"/>
  <c r="Y3" i="9"/>
  <c r="Y5" i="9"/>
  <c r="Y2" i="9"/>
  <c r="Y8" i="9"/>
  <c r="Y7" i="9"/>
  <c r="X8" i="9"/>
  <c r="X7" i="9"/>
  <c r="X9" i="9"/>
  <c r="X6" i="9"/>
  <c r="X4" i="9"/>
  <c r="X3" i="9"/>
  <c r="X5" i="9"/>
  <c r="X2" i="9"/>
  <c r="W5" i="9"/>
  <c r="W2" i="9"/>
  <c r="W8" i="9"/>
  <c r="W7" i="9"/>
  <c r="W9" i="9"/>
  <c r="W6" i="9"/>
  <c r="W4" i="9"/>
  <c r="W3" i="9"/>
  <c r="E20" i="9" l="1" a="1"/>
  <c r="V2" i="9" a="1"/>
  <c r="E20" i="9" l="1"/>
  <c r="F22" i="9"/>
  <c r="E21" i="9"/>
  <c r="G20" i="9"/>
  <c r="E22" i="9"/>
  <c r="G21" i="9"/>
  <c r="G22" i="9"/>
  <c r="F20" i="9"/>
  <c r="F21" i="9"/>
  <c r="V6" i="9"/>
  <c r="V2" i="9"/>
  <c r="V9" i="9"/>
  <c r="V5" i="9"/>
  <c r="V8" i="9"/>
  <c r="V4" i="9"/>
  <c r="V7" i="9"/>
  <c r="V3" i="9"/>
  <c r="I24" i="9" l="1" a="1"/>
  <c r="I24" i="9" s="1"/>
  <c r="H24" i="9" a="1"/>
  <c r="H24" i="9" s="1"/>
  <c r="W14" i="9"/>
  <c r="J5" i="9" s="1"/>
  <c r="I25" i="9" a="1"/>
  <c r="H25" i="9" a="1"/>
  <c r="H25" i="9" l="1"/>
  <c r="I25" i="9"/>
  <c r="J8" i="9"/>
  <c r="J3" i="9"/>
  <c r="J6" i="9"/>
  <c r="J2" i="9"/>
  <c r="J9" i="9"/>
  <c r="W15" i="9" s="1"/>
  <c r="J7" i="9"/>
  <c r="J4" i="9"/>
  <c r="B19" i="7" a="1"/>
  <c r="B18" i="7" a="1"/>
  <c r="B19" i="7" l="1"/>
  <c r="B18" i="7"/>
  <c r="K7" i="9"/>
  <c r="K5" i="9"/>
  <c r="K4" i="9"/>
  <c r="K2" i="9"/>
  <c r="K6" i="9"/>
  <c r="K3" i="9"/>
  <c r="K9" i="9"/>
  <c r="K8" i="9"/>
  <c r="M32" i="6" l="1"/>
  <c r="M39" i="6" s="1"/>
  <c r="L32" i="6"/>
  <c r="L39" i="6" s="1"/>
  <c r="G34" i="6"/>
  <c r="F34" i="6"/>
  <c r="L18" i="6"/>
  <c r="G20" i="6"/>
  <c r="F20" i="6"/>
  <c r="M18" i="6"/>
  <c r="L21" i="6" l="1"/>
  <c r="L23" i="6" s="1"/>
  <c r="F23" i="6"/>
  <c r="G23" i="6"/>
  <c r="M21" i="6"/>
  <c r="M23" i="6" s="1"/>
  <c r="B3" i="12" a="1"/>
  <c r="D6" i="6"/>
  <c r="B4" i="12" a="1"/>
  <c r="D7" i="6"/>
  <c r="F37" i="2"/>
  <c r="E37" i="2"/>
  <c r="D37" i="2"/>
  <c r="E36" i="2"/>
  <c r="E40" i="2" s="1"/>
  <c r="D36" i="2"/>
  <c r="D40" i="2" s="1"/>
  <c r="F34" i="2"/>
  <c r="F40" i="2" s="1"/>
  <c r="F33" i="2"/>
  <c r="F32" i="2"/>
  <c r="F24" i="2"/>
  <c r="E24" i="2" s="1"/>
  <c r="E27" i="2" s="1"/>
  <c r="E23" i="2"/>
  <c r="D23" i="2"/>
  <c r="F21" i="2"/>
  <c r="F20" i="2"/>
  <c r="F19" i="2"/>
  <c r="F27" i="2" s="1"/>
  <c r="F11" i="2"/>
  <c r="E11" i="2"/>
  <c r="D11" i="2"/>
  <c r="D14" i="2" s="1"/>
  <c r="E10" i="2"/>
  <c r="E14" i="2" s="1"/>
  <c r="E15" i="2" s="1"/>
  <c r="D10" i="2"/>
  <c r="F8" i="2"/>
  <c r="F7" i="2"/>
  <c r="F6" i="2"/>
  <c r="F14" i="2" s="1"/>
  <c r="F37" i="1"/>
  <c r="E37" i="1" s="1"/>
  <c r="E36" i="1"/>
  <c r="D36" i="1"/>
  <c r="F34" i="1"/>
  <c r="F33" i="1"/>
  <c r="F32" i="1"/>
  <c r="F24" i="1"/>
  <c r="E24" i="1" s="1"/>
  <c r="E23" i="1"/>
  <c r="D23" i="1"/>
  <c r="F21" i="1"/>
  <c r="F20" i="1"/>
  <c r="F19" i="1"/>
  <c r="F6" i="1"/>
  <c r="F7" i="1"/>
  <c r="E10" i="1"/>
  <c r="D10" i="1"/>
  <c r="F11" i="1"/>
  <c r="E11" i="1" s="1"/>
  <c r="E14" i="1" s="1"/>
  <c r="F8" i="1"/>
  <c r="D8" i="6" l="1" a="1"/>
  <c r="D8" i="6" s="1"/>
  <c r="E8" i="6" s="1"/>
  <c r="B4" i="12"/>
  <c r="C4" i="12"/>
  <c r="D4" i="12"/>
  <c r="B3" i="12"/>
  <c r="D3" i="12"/>
  <c r="C3" i="12"/>
  <c r="E28" i="2"/>
  <c r="D15" i="2"/>
  <c r="D41" i="2"/>
  <c r="H41" i="2"/>
  <c r="E41" i="2"/>
  <c r="D24" i="2"/>
  <c r="D27" i="2" s="1"/>
  <c r="D28" i="2" s="1"/>
  <c r="F40" i="1"/>
  <c r="D24" i="1"/>
  <c r="D11" i="1"/>
  <c r="D14" i="1" s="1"/>
  <c r="D15" i="1" s="1"/>
  <c r="D27" i="1"/>
  <c r="D28" i="1" s="1"/>
  <c r="E40" i="1"/>
  <c r="F14" i="1"/>
  <c r="E15" i="1" s="1"/>
  <c r="E27" i="1"/>
  <c r="D37" i="1"/>
  <c r="D40" i="1" s="1"/>
  <c r="H40" i="1" s="1"/>
  <c r="H41" i="1" s="1"/>
  <c r="F27" i="1"/>
  <c r="D9" i="6" l="1"/>
  <c r="F14" i="6"/>
  <c r="D14" i="6"/>
  <c r="E14" i="6"/>
  <c r="C2" i="12"/>
  <c r="C5" i="12" s="1"/>
  <c r="C6" i="12" s="1"/>
  <c r="B2" i="12"/>
  <c r="B5" i="12" s="1"/>
  <c r="B6" i="12" s="1"/>
  <c r="D5" i="12"/>
  <c r="D6" i="12" s="1"/>
  <c r="D41" i="1"/>
  <c r="E41" i="1"/>
  <c r="E28" i="1"/>
  <c r="C7" i="12" a="1"/>
  <c r="B7" i="12" a="1"/>
  <c r="D7" i="12" a="1"/>
  <c r="B7" i="12" l="1"/>
  <c r="C7" i="12"/>
  <c r="D7" i="12"/>
  <c r="E7" i="12" l="1"/>
  <c r="D8" i="12" s="1"/>
  <c r="D9" i="12" s="1"/>
  <c r="D10" i="12" s="1"/>
  <c r="D11" i="12" s="1"/>
  <c r="B8" i="12" l="1"/>
  <c r="B9" i="12" s="1"/>
  <c r="C8" i="12"/>
  <c r="C9" i="12" s="1"/>
  <c r="C10" i="12" s="1"/>
  <c r="C11" i="12" s="1"/>
  <c r="D29" i="6" a="1"/>
  <c r="D29" i="6" l="1"/>
  <c r="F29" i="6"/>
  <c r="E29" i="6"/>
  <c r="F32" i="6" a="1"/>
  <c r="B10" i="12"/>
  <c r="B11" i="12" s="1"/>
  <c r="D28" i="6" l="1" a="1"/>
  <c r="H22" i="6"/>
  <c r="N22" i="6" s="1"/>
  <c r="G22" i="6"/>
  <c r="M22" i="6" s="1"/>
  <c r="F22" i="6"/>
  <c r="L22" i="6" s="1"/>
  <c r="G32" i="6"/>
  <c r="G36" i="6" s="1"/>
  <c r="M35" i="6" s="1"/>
  <c r="M36" i="6" s="1"/>
  <c r="F32" i="6"/>
  <c r="F36" i="6" s="1"/>
  <c r="L35" i="6" s="1"/>
  <c r="L36" i="6" s="1"/>
  <c r="H32" i="6"/>
  <c r="H36" i="6" s="1"/>
  <c r="N35" i="6" s="1"/>
  <c r="N36" i="6" s="1"/>
  <c r="F28" i="6" l="1"/>
  <c r="D28" i="6"/>
  <c r="E2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<sst xmlns="http://schemas.openxmlformats.org/spreadsheetml/2006/main" count="278" uniqueCount="146">
  <si>
    <t>Panel A.  Risk Tolerance Only Applies to Brokerage Account</t>
  </si>
  <si>
    <t>Financial Assets</t>
  </si>
  <si>
    <t>Stocks</t>
  </si>
  <si>
    <t>Bonds</t>
  </si>
  <si>
    <t>Total</t>
  </si>
  <si>
    <t>Brokerage Account</t>
  </si>
  <si>
    <t>Retirement Account</t>
  </si>
  <si>
    <t>Employer Stock</t>
  </si>
  <si>
    <t>Human Capital</t>
  </si>
  <si>
    <t>Social Security ($25k per year)</t>
  </si>
  <si>
    <t>Defined Benefit Pension ($50k per year)</t>
  </si>
  <si>
    <t>Total (in Dollars)</t>
  </si>
  <si>
    <t>Total (in Percent)</t>
  </si>
  <si>
    <t>Panel B.  Risk Tolerance Only Applies to Brokerage Account + Retirement Account</t>
  </si>
  <si>
    <t>Panel C.  Risk Tolerance  Applies to all Assets</t>
  </si>
  <si>
    <t>Net Worth</t>
  </si>
  <si>
    <t>Cash</t>
  </si>
  <si>
    <t>Liabilities</t>
  </si>
  <si>
    <t>Current Age</t>
  </si>
  <si>
    <t>Retirement Age</t>
  </si>
  <si>
    <t>Asset</t>
  </si>
  <si>
    <t>PV of Nondisc. Consump.</t>
  </si>
  <si>
    <t>Human Capital in $</t>
  </si>
  <si>
    <t>Total:</t>
  </si>
  <si>
    <t>Nondiscretionary Annual Spending</t>
  </si>
  <si>
    <t>Current Annual Income in $</t>
  </si>
  <si>
    <t>Subjective Life Expectancy</t>
  </si>
  <si>
    <t>Generic</t>
  </si>
  <si>
    <t>High School</t>
  </si>
  <si>
    <t>College</t>
  </si>
  <si>
    <t>Post-College</t>
  </si>
  <si>
    <t>Shorter</t>
  </si>
  <si>
    <t>Average</t>
  </si>
  <si>
    <t>Longer</t>
  </si>
  <si>
    <t xml:space="preserve">Current DC Contribution in $ </t>
  </si>
  <si>
    <t>DC Match in %</t>
  </si>
  <si>
    <t>PV of Life Insurance / Bequest</t>
  </si>
  <si>
    <t>Net Worth Risk Tolerance</t>
  </si>
  <si>
    <t>Drop Down Menu</t>
  </si>
  <si>
    <t>Assumed Value</t>
  </si>
  <si>
    <t>Conservative</t>
  </si>
  <si>
    <t>Moderate</t>
  </si>
  <si>
    <t>Aggressive</t>
  </si>
  <si>
    <t>Education Level for Human Capital</t>
  </si>
  <si>
    <t>Male</t>
  </si>
  <si>
    <t>Female</t>
  </si>
  <si>
    <t>Education Level</t>
  </si>
  <si>
    <t>&lt;-Estimated Value of Human Capital</t>
  </si>
  <si>
    <t>Riskiness of Human Capital</t>
  </si>
  <si>
    <t>Safe</t>
  </si>
  <si>
    <t>Risky</t>
  </si>
  <si>
    <t>Flexibility of Bequest vs. Consumption</t>
  </si>
  <si>
    <t>Strength of Bequest vs. Consumption</t>
  </si>
  <si>
    <t>Not Flexible</t>
  </si>
  <si>
    <t>Very Flexible</t>
  </si>
  <si>
    <t>Financial Capital in $</t>
  </si>
  <si>
    <t>Asset Class</t>
  </si>
  <si>
    <t>Ref. Port.</t>
  </si>
  <si>
    <t>Beta</t>
  </si>
  <si>
    <t>Exp. Ret.</t>
  </si>
  <si>
    <t>Std. Dev.</t>
  </si>
  <si>
    <t>US Large Cap Stocks</t>
  </si>
  <si>
    <t>US Mid Small Cap Stocks</t>
  </si>
  <si>
    <t>Global DM x US Stocks</t>
  </si>
  <si>
    <t>Emerging Market Stocks</t>
  </si>
  <si>
    <t>US Bonds</t>
  </si>
  <si>
    <t>Inflation Linked Bonds</t>
  </si>
  <si>
    <t>Global Bonds x US</t>
  </si>
  <si>
    <t>Equity</t>
  </si>
  <si>
    <t>Fixed Income</t>
  </si>
  <si>
    <t>Expected Return of Ref. Port.</t>
  </si>
  <si>
    <t>VarRefPort</t>
  </si>
  <si>
    <t>Risk-Free Rate</t>
  </si>
  <si>
    <t>Phi</t>
  </si>
  <si>
    <t>Base Hum Cap Port</t>
  </si>
  <si>
    <t>omega</t>
  </si>
  <si>
    <t>Discount Rate</t>
  </si>
  <si>
    <t>Broad Asset Class</t>
  </si>
  <si>
    <t>Domestic Equity</t>
  </si>
  <si>
    <t>International Equity</t>
  </si>
  <si>
    <t>Domestic Equity Portfolio</t>
  </si>
  <si>
    <t>Global Equity Portfolio</t>
  </si>
  <si>
    <t>Fixed Income Portfolio</t>
  </si>
  <si>
    <t>Aggregated Covariance Matrix</t>
  </si>
  <si>
    <t>Hum Cap</t>
  </si>
  <si>
    <t>Covariance with Equity</t>
  </si>
  <si>
    <t>Liability Port</t>
  </si>
  <si>
    <t>Liab Model</t>
  </si>
  <si>
    <t>Parameter</t>
  </si>
  <si>
    <t>Value</t>
  </si>
  <si>
    <t>Age</t>
  </si>
  <si>
    <t>Mort Adj (years)</t>
  </si>
  <si>
    <t>Education</t>
  </si>
  <si>
    <t>Salary</t>
  </si>
  <si>
    <t>Match</t>
  </si>
  <si>
    <t>Soc Ins Start Age</t>
  </si>
  <si>
    <t>Annuity Start Age</t>
  </si>
  <si>
    <t>Nondisc Consump</t>
  </si>
  <si>
    <t>Subj Disc Rate</t>
  </si>
  <si>
    <t>EOIS</t>
  </si>
  <si>
    <t>Intergen Elasticity</t>
  </si>
  <si>
    <t>Bequest Pref</t>
  </si>
  <si>
    <t>Init Fin Wealth</t>
  </si>
  <si>
    <t>Sex</t>
  </si>
  <si>
    <t>Educ Levels</t>
  </si>
  <si>
    <t>Post College</t>
  </si>
  <si>
    <t>Genders</t>
  </si>
  <si>
    <t>Years</t>
  </si>
  <si>
    <t>Change</t>
  </si>
  <si>
    <t>PV of NondiscConsumption</t>
  </si>
  <si>
    <t>Risky Human Capital</t>
  </si>
  <si>
    <t>Price of Perm Life Ins</t>
  </si>
  <si>
    <t>Maximum Bequest</t>
  </si>
  <si>
    <t>Maximum Consumption</t>
  </si>
  <si>
    <t>&lt;-Bequest</t>
  </si>
  <si>
    <t>High</t>
  </si>
  <si>
    <t>Medium</t>
  </si>
  <si>
    <t>Low</t>
  </si>
  <si>
    <t>Asset Price</t>
  </si>
  <si>
    <t>Cert Equiv Ret</t>
  </si>
  <si>
    <t>Delta</t>
  </si>
  <si>
    <t>&lt;-Estimated Value of Liabilites</t>
  </si>
  <si>
    <t>&lt;-Initial Consumption</t>
  </si>
  <si>
    <t>Financial Wealth Targets</t>
  </si>
  <si>
    <t>In %</t>
  </si>
  <si>
    <t>Constrained %</t>
  </si>
  <si>
    <t>Financial Wealth  %</t>
  </si>
  <si>
    <t>&lt;-Net Worth Stock/Bond/Cash Split</t>
  </si>
  <si>
    <t>&lt;-Financial Wealth Stock/Bond/Cash Split</t>
  </si>
  <si>
    <t>Human Capital $</t>
  </si>
  <si>
    <t>Liabilities $</t>
  </si>
  <si>
    <t>Net Worth Targets $</t>
  </si>
  <si>
    <t>Financial Wealth $</t>
  </si>
  <si>
    <t>Net Worth $</t>
  </si>
  <si>
    <t>Net Worth %</t>
  </si>
  <si>
    <t>Financial Capital -- Stocks</t>
  </si>
  <si>
    <t>Financial Capital -- Bonds</t>
  </si>
  <si>
    <t>Financial Capital -- Cash</t>
  </si>
  <si>
    <t>Current Individual Balance Sheet</t>
  </si>
  <si>
    <t>Inputs:  (Light Orange)</t>
  </si>
  <si>
    <t>Outputs: (Light Green)</t>
  </si>
  <si>
    <t>Caculated Values</t>
  </si>
  <si>
    <t>Current / Implied Allocations</t>
  </si>
  <si>
    <t>Quasi-Recommended Allocations</t>
  </si>
  <si>
    <t>Quasi-Recommended Individual Balance Sheet</t>
  </si>
  <si>
    <t>&lt;-Total Financial Wealth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</si>
</sst>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&quot;$&quot;#,##0_);\(&quot;$&quot;#,##0\)"/>
    <numFmt numFmtId="165" formatCode="&quot;$&quot;#,##0_);[Red]\(&quot;$&quot;#,##0\)"/>
    <numFmt numFmtId="166" formatCode="_(&quot;$&quot;* #,##0.00_);_(&quot;$&quot;* \(#,##0.00\);_(&quot;$&quot;* &quot;-&quot;??_);_(@_)"/>
    <numFmt numFmtId="167" formatCode="&quot;$&quot;#,##0;[Red]\-&quot;$&quot;#,##0"/>
    <numFmt numFmtId="168" formatCode="0.0%"/>
    <numFmt numFmtId="169" formatCode="&quot;$&quot;#,##0.0_);[Red]\(&quot;$&quot;#,##0.0\)"/>
    <numFmt numFmtId="170" formatCode="_(&quot;$&quot;* #,##0_);_(&quot;$&quot;* \(#,##0\);_(&quot;$&quot;* &quot;-&quot;??_);_(@_)"/>
    <numFmt numFmtId="171" formatCode="&quot;$&quot;#,##0"/>
    <numFmt numFmtId="172" formatCode="0.0000"/>
    <numFmt numFmtId="173" formatCode="&quot;$&quot;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84">
    <xf numFmtId="0" fontId="0" fillId="0" borderId="0" xfId="0"/>
    <xf numFmtId="165" fontId="0" fillId="0" borderId="0" xfId="0" applyNumberFormat="1"/>
    <xf numFmtId="168" fontId="0" fillId="0" borderId="0" xfId="1" applyNumberFormat="1" applyFont="1"/>
    <xf numFmtId="0" fontId="2" fillId="0" borderId="0" xfId="0" applyFont="1"/>
    <xf numFmtId="169" fontId="0" fillId="0" borderId="0" xfId="0" applyNumberFormat="1"/>
    <xf numFmtId="168" fontId="0" fillId="0" borderId="0" xfId="1" applyNumberFormat="1" applyFont="1" applyFill="1" applyBorder="1"/>
    <xf numFmtId="168" fontId="2" fillId="0" borderId="0" xfId="1" applyNumberFormat="1" applyFont="1" applyFill="1" applyBorder="1"/>
    <xf numFmtId="168" fontId="1" fillId="0" borderId="0" xfId="1" applyNumberFormat="1" applyFont="1" applyFill="1" applyBorder="1"/>
    <xf numFmtId="165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171" fontId="0" fillId="0" borderId="0" xfId="0" applyNumberFormat="1"/>
    <xf numFmtId="9" fontId="0" fillId="0" borderId="0" xfId="0" applyNumberFormat="1"/>
    <xf numFmtId="9" fontId="2" fillId="0" borderId="0" xfId="0" applyNumberFormat="1" applyFont="1" applyAlignment="1">
      <alignment horizontal="center" vertical="center"/>
    </xf>
    <xf numFmtId="9" fontId="0" fillId="3" borderId="1" xfId="0" applyNumberFormat="1" applyFill="1" applyBorder="1" applyAlignment="1">
      <alignment horizontal="right"/>
    </xf>
    <xf numFmtId="0" fontId="2" fillId="0" borderId="0" xfId="0" applyFont="1" applyAlignment="1">
      <alignment wrapText="1"/>
    </xf>
    <xf numFmtId="0" fontId="0" fillId="0" borderId="3" xfId="0" applyBorder="1"/>
    <xf numFmtId="0" fontId="0" fillId="0" borderId="4" xfId="0" applyBorder="1"/>
    <xf numFmtId="165" fontId="2" fillId="0" borderId="5" xfId="0" applyNumberFormat="1" applyFont="1" applyBorder="1"/>
    <xf numFmtId="0" fontId="0" fillId="0" borderId="6" xfId="0" applyBorder="1" applyAlignment="1">
      <alignment horizontal="center"/>
    </xf>
    <xf numFmtId="165" fontId="0" fillId="0" borderId="5" xfId="0" applyNumberFormat="1" applyBorder="1"/>
    <xf numFmtId="171" fontId="2" fillId="2" borderId="6" xfId="0" applyNumberFormat="1" applyFont="1" applyFill="1" applyBorder="1" applyAlignment="1">
      <alignment horizontal="center" vertical="center"/>
    </xf>
    <xf numFmtId="168" fontId="0" fillId="0" borderId="5" xfId="1" applyNumberFormat="1" applyFont="1" applyFill="1" applyBorder="1"/>
    <xf numFmtId="0" fontId="0" fillId="0" borderId="6" xfId="0" applyBorder="1"/>
    <xf numFmtId="0" fontId="0" fillId="0" borderId="5" xfId="0" applyBorder="1"/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right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 wrapText="1"/>
    </xf>
    <xf numFmtId="168" fontId="0" fillId="4" borderId="0" xfId="1" applyNumberFormat="1" applyFont="1" applyFill="1"/>
    <xf numFmtId="168" fontId="0" fillId="0" borderId="0" xfId="1" applyNumberFormat="1" applyFont="1" applyFill="1"/>
    <xf numFmtId="2" fontId="0" fillId="0" borderId="0" xfId="0" applyNumberFormat="1"/>
    <xf numFmtId="10" fontId="0" fillId="0" borderId="0" xfId="1" applyNumberFormat="1" applyFont="1"/>
    <xf numFmtId="10" fontId="0" fillId="4" borderId="0" xfId="1" applyNumberFormat="1" applyFont="1" applyFill="1"/>
    <xf numFmtId="172" fontId="0" fillId="0" borderId="0" xfId="0" applyNumberFormat="1"/>
    <xf numFmtId="172" fontId="0" fillId="4" borderId="0" xfId="0" applyNumberFormat="1" applyFill="1"/>
    <xf numFmtId="10" fontId="0" fillId="0" borderId="0" xfId="1" applyNumberFormat="1" applyFont="1" applyFill="1"/>
    <xf numFmtId="10" fontId="0" fillId="4" borderId="0" xfId="0" applyNumberFormat="1" applyFill="1"/>
    <xf numFmtId="10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Alignment="1">
      <alignment horizontal="right"/>
    </xf>
    <xf numFmtId="168" fontId="0" fillId="0" borderId="0" xfId="0" applyNumberFormat="1"/>
    <xf numFmtId="0" fontId="2" fillId="0" borderId="0" xfId="0" applyFont="1" applyAlignment="1">
      <alignment horizontal="right" wrapText="1"/>
    </xf>
    <xf numFmtId="9" fontId="0" fillId="4" borderId="0" xfId="0" applyNumberFormat="1" applyFill="1"/>
    <xf numFmtId="9" fontId="0" fillId="0" borderId="0" xfId="1" applyFont="1"/>
    <xf numFmtId="0" fontId="0" fillId="4" borderId="0" xfId="0" applyFill="1"/>
    <xf numFmtId="173" fontId="0" fillId="0" borderId="0" xfId="0" applyNumberFormat="1"/>
    <xf numFmtId="171" fontId="0" fillId="0" borderId="0" xfId="0" applyNumberFormat="1" applyAlignment="1">
      <alignment horizontal="right" vertical="center"/>
    </xf>
    <xf numFmtId="170" fontId="0" fillId="3" borderId="1" xfId="2" applyNumberFormat="1" applyFont="1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164" fontId="0" fillId="3" borderId="1" xfId="2" applyNumberFormat="1" applyFont="1" applyFill="1" applyBorder="1" applyAlignment="1">
      <alignment horizontal="right"/>
    </xf>
    <xf numFmtId="9" fontId="0" fillId="3" borderId="1" xfId="1" applyFont="1" applyFill="1" applyBorder="1" applyAlignment="1">
      <alignment horizontal="right"/>
    </xf>
    <xf numFmtId="0" fontId="0" fillId="3" borderId="10" xfId="0" applyFill="1" applyBorder="1" applyAlignment="1">
      <alignment horizontal="right"/>
    </xf>
    <xf numFmtId="10" fontId="0" fillId="0" borderId="0" xfId="1" applyNumberFormat="1" applyFont="1" applyAlignment="1">
      <alignment horizontal="right"/>
    </xf>
    <xf numFmtId="171" fontId="2" fillId="2" borderId="0" xfId="0" applyNumberFormat="1" applyFont="1" applyFill="1" applyAlignment="1">
      <alignment horizontal="right" vertical="center"/>
    </xf>
    <xf numFmtId="171" fontId="2" fillId="2" borderId="0" xfId="0" applyNumberFormat="1" applyFont="1" applyFill="1" applyAlignment="1">
      <alignment horizontal="right"/>
    </xf>
    <xf numFmtId="10" fontId="2" fillId="2" borderId="0" xfId="1" applyNumberFormat="1" applyFont="1" applyFill="1" applyBorder="1" applyAlignment="1">
      <alignment horizontal="center" vertical="center"/>
    </xf>
    <xf numFmtId="171" fontId="0" fillId="0" borderId="0" xfId="1" applyNumberFormat="1" applyFont="1"/>
    <xf numFmtId="0" fontId="0" fillId="0" borderId="0" xfId="0" applyAlignment="1">
      <alignment horizontal="center"/>
    </xf>
    <xf numFmtId="9" fontId="2" fillId="3" borderId="1" xfId="0" applyNumberFormat="1" applyFont="1" applyFill="1" applyBorder="1" applyAlignment="1">
      <alignment horizontal="left"/>
    </xf>
    <xf numFmtId="0" fontId="2" fillId="5" borderId="0" xfId="0" applyFont="1" applyFill="1"/>
    <xf numFmtId="0" fontId="0" fillId="5" borderId="0" xfId="0" applyFill="1"/>
    <xf numFmtId="0" fontId="2" fillId="0" borderId="0" xfId="0" applyFont="1" applyAlignment="1">
      <alignment horizontal="center"/>
    </xf>
    <xf numFmtId="165" fontId="2" fillId="0" borderId="0" xfId="0" applyNumberFormat="1" applyFont="1"/>
    <xf numFmtId="171" fontId="2" fillId="2" borderId="0" xfId="0" applyNumberFormat="1" applyFont="1" applyFill="1" applyAlignment="1">
      <alignment horizontal="center" vertical="center"/>
    </xf>
    <xf numFmtId="171" fontId="2" fillId="0" borderId="0" xfId="0" applyNumberFormat="1" applyFont="1" applyAlignment="1">
      <alignment horizontal="center" vertical="center"/>
    </xf>
    <xf numFmtId="0" fontId="2" fillId="0" borderId="2" xfId="0" applyFont="1" applyBorder="1"/>
    <xf numFmtId="165" fontId="0" fillId="0" borderId="5" xfId="0" applyNumberFormat="1" applyBorder="1" applyAlignment="1">
      <alignment horizontal="center" wrapText="1"/>
    </xf>
    <xf numFmtId="165" fontId="0" fillId="0" borderId="0" xfId="0" applyNumberFormat="1" applyAlignment="1">
      <alignment horizontal="center" wrapText="1"/>
    </xf>
    <xf numFmtId="10" fontId="2" fillId="2" borderId="5" xfId="1" applyNumberFormat="1" applyFont="1" applyFill="1" applyBorder="1" applyAlignment="1">
      <alignment horizontal="center" vertical="center"/>
    </xf>
    <xf numFmtId="0" fontId="0" fillId="0" borderId="0" xfId="0" quotePrefix="1"/>
    <xf numFmtId="10" fontId="2" fillId="2" borderId="5" xfId="0" applyNumberFormat="1" applyFont="1" applyFill="1" applyBorder="1" applyAlignment="1">
      <alignment horizontal="center" vertical="center"/>
    </xf>
    <xf numFmtId="10" fontId="2" fillId="2" borderId="0" xfId="0" applyNumberFormat="1" applyFont="1" applyFill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0" fillId="0" borderId="8" xfId="0" applyBorder="1"/>
    <xf numFmtId="171" fontId="2" fillId="0" borderId="8" xfId="0" applyNumberFormat="1" applyFont="1" applyBorder="1"/>
    <xf numFmtId="171" fontId="2" fillId="0" borderId="9" xfId="0" applyNumberFormat="1" applyFont="1" applyBorder="1"/>
    <xf numFmtId="171" fontId="2" fillId="2" borderId="0" xfId="0" applyNumberFormat="1" applyFont="1" applyFill="1"/>
    <xf numFmtId="165" fontId="0" fillId="2" borderId="0" xfId="0" applyNumberFormat="1" applyFill="1"/>
    <xf numFmtId="167" fontId="2" fillId="2" borderId="0" xfId="0" applyNumberFormat="1" applyFont="1" applyFill="1" applyAlignment="1">
      <alignment horizontal="right"/>
    </xf>
    <xf numFmtId="10" fontId="2" fillId="0" borderId="0" xfId="1" applyNumberFormat="1" applyFont="1" applyAlignment="1">
      <alignment horizontal="center"/>
    </xf>
    <xf numFmtId="0" fontId="0" fillId="0" borderId="0" xfId="0" applyAlignment="1">
      <alignment horizontal="center"/>
    </xf>
  </cellXfs>
  <cellStyles count="3">
    <cellStyle name="Currency" xfId="2" builtinId="4"/>
    <cellStyle name="Normal" xfId="0" builtinId="0"/>
    <cellStyle name="Percent" xfId="1" builtinId="5"/>
  </cellStyles>
  <dxfs count="1">
    <dxf>
      <font>
        <strike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ttps://rpc.cfainstitute.org/en/research/foundation/2024/lifetime-financial-advice-a-personalized-optimal-multilevel-approach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50800</xdr:rowOff>
    </xdr:from>
    <xdr:to>
      <xdr:col>11</xdr:col>
      <xdr:colOff>323850</xdr:colOff>
      <xdr:row>18</xdr:row>
      <xdr:rowOff>114300</xdr:rowOff>
    </xdr:to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D97ED8-5266-EDAF-2ACF-FF25AED7FAC2}"/>
            </a:ext>
          </a:extLst>
        </xdr:cNvPr>
        <xdr:cNvSpPr txBox="1"/>
      </xdr:nvSpPr>
      <xdr:spPr>
        <a:xfrm>
          <a:off x="114300" y="50800"/>
          <a:ext cx="6915150" cy="3378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at your own risk.</a:t>
          </a:r>
        </a:p>
        <a:p>
          <a:endParaRPr lang="en-US">
            <a:effectLst/>
          </a:endParaRP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Purpopse: 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purpose of the spreadsheet is to demonstrate and caculate a sample economic balance sheet consisting of financial assets, human capital, and a nondiscretionary consumption liability.</a:t>
          </a:r>
        </a:p>
        <a:p>
          <a:endParaRPr lang="en-US">
            <a:effectLst/>
          </a:endParaRP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Primary Outputs: 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primary output is a) a Current Balance Sheet based on the investor's current fincial capital and b) a Quasi-Recommended Balance Sheet (in the spirit of a "net worth optimization").</a:t>
          </a:r>
        </a:p>
        <a:p>
          <a:endParaRPr lang="en-US">
            <a:effectLst/>
          </a:endParaRPr>
        </a:p>
        <a:p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Methodology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 Based on user supplied inputs, VBA code is used to perform sample caculations outlined in the the book:  </a:t>
          </a:r>
          <a:r>
            <a:rPr lang="en-US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Lifetime Financial Advice: A Personalized Optimal Multilevel Approach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 </a:t>
          </a:r>
          <a:endParaRPr lang="en-US">
            <a:effectLst/>
          </a:endParaRPr>
        </a:p>
        <a:p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 </a:t>
          </a:r>
          <a:endParaRPr lang="en-US">
            <a:effectLst/>
          </a:endParaRPr>
        </a:p>
        <a:p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https://rpc.cfainstitute.org/en/research/foundation/2024/lifetime-financial-advice-a-personalized-optimal-multilevel-approach </a:t>
          </a:r>
        </a:p>
        <a:p>
          <a:endParaRPr lang="en-US">
            <a:effectLst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full "net worth optimization"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is not occuring in this spreadsheet.  An approximation approach is used to infer a quasi-recommended balance sheet based on the supplied inputs.</a:t>
          </a:r>
        </a:p>
        <a:p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You may need to enable macros.</a:t>
          </a:r>
          <a:endParaRPr lang="en-US">
            <a:effectLst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wner\Documents\Linked%20Lifecycle%20Model\New%20Chapter%205%20Exhibits%20+%20Exhibit%203.12%20PDK.xlsm" TargetMode="External"/><Relationship Id="rId1" Type="http://schemas.openxmlformats.org/officeDocument/2006/relationships/externalLinkPath" Target="file:///C:\Users\Owner\Documents\Linked%20Lifecycle%20Model\New%20Chapter%205%20Exhibits%20+%20Exhibit%203.12%20PDK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312BeqParamsChart"/>
      <sheetName val="Ex51FracNWChart"/>
      <sheetName val="Ex52ConsumpChart"/>
      <sheetName val="Ex53FinWealthChart"/>
      <sheetName val="Ex54AnnIncChart"/>
      <sheetName val="NewEx55LIFinWealthChart"/>
      <sheetName val="ObsEx57ReachBeqChart"/>
      <sheetName val="ObsEx58ConsumpFinChart"/>
      <sheetName val="Ex57NewBeqvsConsumpChart"/>
      <sheetName val="SalParamsTab"/>
      <sheetName val="ParamsTab"/>
      <sheetName val="Data"/>
      <sheetName val="DataOptMatch"/>
      <sheetName val="FrontierData"/>
      <sheetName val="CunsumpChartAnn"/>
      <sheetName val="BeqAnalysis"/>
      <sheetName val="SIMultLookUpTab"/>
      <sheetName val="ObsEx55AnnPurchCha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A3" t="str">
            <v>Generic</v>
          </cell>
          <cell r="C3">
            <v>7.2762700000000002</v>
          </cell>
          <cell r="D3">
            <v>7.3969839999999998</v>
          </cell>
          <cell r="E3">
            <v>8.0248229999999996</v>
          </cell>
          <cell r="F3">
            <v>9.8421839999999996</v>
          </cell>
          <cell r="G3">
            <v>6.7192670000000003</v>
          </cell>
          <cell r="H3">
            <v>7.4769940000000004</v>
          </cell>
          <cell r="I3">
            <v>6.2236539999999998</v>
          </cell>
          <cell r="J3">
            <v>4.3094140000000003</v>
          </cell>
        </row>
        <row r="4">
          <cell r="A4" t="str">
            <v>High School</v>
          </cell>
          <cell r="C4">
            <v>0.236958</v>
          </cell>
          <cell r="D4">
            <v>0.25825300000000001</v>
          </cell>
          <cell r="E4">
            <v>0.18256600000000001</v>
          </cell>
          <cell r="F4">
            <v>4.1650000000000003E-3</v>
          </cell>
          <cell r="G4">
            <v>0.29959000000000002</v>
          </cell>
          <cell r="H4">
            <v>0.253529</v>
          </cell>
          <cell r="I4">
            <v>0.306952</v>
          </cell>
          <cell r="J4">
            <v>0.55148699999999995</v>
          </cell>
        </row>
        <row r="5">
          <cell r="A5" t="str">
            <v>College</v>
          </cell>
          <cell r="C5">
            <v>-0.57540800000000003</v>
          </cell>
          <cell r="D5">
            <v>-0.75977399999999995</v>
          </cell>
          <cell r="E5">
            <v>-0.52995099999999995</v>
          </cell>
          <cell r="F5">
            <v>6.2806000000000001E-2</v>
          </cell>
          <cell r="G5">
            <v>-0.77584799999999998</v>
          </cell>
          <cell r="H5">
            <v>-0.74651299999999998</v>
          </cell>
          <cell r="I5">
            <v>-0.60336800000000002</v>
          </cell>
          <cell r="J5">
            <v>-1.7227710000000001</v>
          </cell>
        </row>
        <row r="6">
          <cell r="A6" t="str">
            <v>Post College</v>
          </cell>
          <cell r="C6">
            <v>6.5291000000000002E-2</v>
          </cell>
          <cell r="D6">
            <v>0.100645</v>
          </cell>
          <cell r="E6">
            <v>7.6131000000000004E-2</v>
          </cell>
          <cell r="F6">
            <v>-1.5403999999999999E-2</v>
          </cell>
          <cell r="G6">
            <v>9.2648999999999995E-2</v>
          </cell>
          <cell r="H6">
            <v>0.100216</v>
          </cell>
          <cell r="I6">
            <v>4.3638000000000003E-2</v>
          </cell>
          <cell r="J6">
            <v>0.24268500000000001</v>
          </cell>
        </row>
        <row r="7">
          <cell r="C7">
            <v>-3.0119999999999999E-3</v>
          </cell>
          <cell r="D7">
            <v>-5.097E-3</v>
          </cell>
          <cell r="E7">
            <v>-4.3920000000000001E-3</v>
          </cell>
          <cell r="F7">
            <v>1.003E-3</v>
          </cell>
          <cell r="G7">
            <v>-4.3680000000000004E-3</v>
          </cell>
          <cell r="H7">
            <v>-5.176E-3</v>
          </cell>
          <cell r="I7">
            <v>-6.8900000000000005E-4</v>
          </cell>
          <cell r="J7">
            <v>-1.2938E-2</v>
          </cell>
        </row>
        <row r="9">
          <cell r="A9" t="str">
            <v>Male</v>
          </cell>
        </row>
        <row r="10">
          <cell r="A10" t="str">
            <v>Female</v>
          </cell>
        </row>
      </sheetData>
      <sheetData sheetId="10">
        <row r="1">
          <cell r="B1">
            <v>25</v>
          </cell>
          <cell r="D1">
            <v>25</v>
          </cell>
        </row>
        <row r="2">
          <cell r="D2">
            <v>2</v>
          </cell>
        </row>
        <row r="3">
          <cell r="D3">
            <v>7.6084726439282493</v>
          </cell>
        </row>
        <row r="4">
          <cell r="D4">
            <v>3</v>
          </cell>
        </row>
        <row r="5">
          <cell r="D5">
            <v>75000</v>
          </cell>
        </row>
        <row r="6">
          <cell r="D6">
            <v>0</v>
          </cell>
        </row>
        <row r="7">
          <cell r="D7">
            <v>65</v>
          </cell>
        </row>
        <row r="8">
          <cell r="D8">
            <v>65</v>
          </cell>
        </row>
        <row r="9">
          <cell r="B9">
            <v>65</v>
          </cell>
          <cell r="D9">
            <v>65</v>
          </cell>
        </row>
        <row r="10">
          <cell r="B10">
            <v>40000</v>
          </cell>
          <cell r="D10">
            <v>40000</v>
          </cell>
        </row>
        <row r="11">
          <cell r="B11">
            <v>0.02</v>
          </cell>
          <cell r="D11">
            <v>0.02</v>
          </cell>
        </row>
        <row r="12">
          <cell r="D12">
            <v>0.5</v>
          </cell>
        </row>
        <row r="13">
          <cell r="B13">
            <v>0.25</v>
          </cell>
          <cell r="D13">
            <v>0.25</v>
          </cell>
        </row>
        <row r="14">
          <cell r="D14">
            <v>1.4999999999999999E-2</v>
          </cell>
        </row>
        <row r="15">
          <cell r="D15">
            <v>270500</v>
          </cell>
        </row>
        <row r="16">
          <cell r="C16">
            <v>9886578.9736627229</v>
          </cell>
        </row>
        <row r="17">
          <cell r="B17">
            <v>6833.333333333333</v>
          </cell>
        </row>
        <row r="18">
          <cell r="B18">
            <v>37.631770001908087</v>
          </cell>
        </row>
        <row r="20">
          <cell r="B20">
            <v>2.5000000000000001E-2</v>
          </cell>
        </row>
        <row r="21">
          <cell r="B21">
            <v>2.4479840791309382E-3</v>
          </cell>
        </row>
      </sheetData>
      <sheetData sheetId="11">
        <row r="102">
          <cell r="B102">
            <v>96608.457155318058</v>
          </cell>
        </row>
      </sheetData>
      <sheetData sheetId="12" refreshError="1"/>
      <sheetData sheetId="13">
        <row r="10">
          <cell r="G10">
            <v>-6095.4068626352237</v>
          </cell>
          <cell r="H10">
            <v>-362.52740074213943</v>
          </cell>
          <cell r="O10">
            <v>-5949.9433373911306</v>
          </cell>
          <cell r="P10">
            <v>-104.83175559909432</v>
          </cell>
          <cell r="V10">
            <v>-19087.608649216359</v>
          </cell>
          <cell r="W10">
            <v>64.38622676327941</v>
          </cell>
        </row>
      </sheetData>
      <sheetData sheetId="14" refreshError="1"/>
      <sheetData sheetId="15" refreshError="1"/>
      <sheetData sheetId="16"/>
      <sheetData sheetId="17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D4271-A66F-4F86-B3FB-D851DBB4483B}">
  <sheetPr codeName="Sheet2"/>
  <dimension ref="B4:H41"/>
  <sheetViews>
    <sheetView topLeftCell="A18" workbookViewId="0">
      <selection activeCell="B31" sqref="B31"/>
    </sheetView>
  </sheetViews>
  <sheetFormatPr defaultRowHeight="14.5" x14ac:dyDescent="0.35"/>
  <cols>
    <col min="3" max="3" width="33.453125" bestFit="1" customWidth="1"/>
    <col min="4" max="6" width="10.453125" bestFit="1" customWidth="1"/>
  </cols>
  <sheetData>
    <row r="4" spans="2:6" x14ac:dyDescent="0.35">
      <c r="B4" s="3" t="s">
        <v>0</v>
      </c>
    </row>
    <row r="5" spans="2:6" x14ac:dyDescent="0.35">
      <c r="B5" t="s">
        <v>1</v>
      </c>
      <c r="D5" t="s">
        <v>2</v>
      </c>
      <c r="E5" t="s">
        <v>3</v>
      </c>
      <c r="F5" t="s">
        <v>4</v>
      </c>
    </row>
    <row r="6" spans="2:6" x14ac:dyDescent="0.35">
      <c r="C6" t="s">
        <v>5</v>
      </c>
      <c r="D6" s="1">
        <v>250000</v>
      </c>
      <c r="E6" s="1">
        <v>250000</v>
      </c>
      <c r="F6" s="1">
        <f t="shared" ref="F6:F7" si="0">SUM(D6:E6)</f>
        <v>500000</v>
      </c>
    </row>
    <row r="7" spans="2:6" x14ac:dyDescent="0.35">
      <c r="C7" t="s">
        <v>6</v>
      </c>
      <c r="D7" s="1">
        <v>0</v>
      </c>
      <c r="E7" s="1">
        <v>500000</v>
      </c>
      <c r="F7" s="1">
        <f t="shared" si="0"/>
        <v>500000</v>
      </c>
    </row>
    <row r="8" spans="2:6" x14ac:dyDescent="0.35">
      <c r="C8" t="s">
        <v>7</v>
      </c>
      <c r="D8" s="1">
        <v>500000</v>
      </c>
      <c r="E8" s="1">
        <v>0</v>
      </c>
      <c r="F8" s="1">
        <f>SUM(D8:E8)</f>
        <v>500000</v>
      </c>
    </row>
    <row r="9" spans="2:6" x14ac:dyDescent="0.35">
      <c r="B9" t="s">
        <v>8</v>
      </c>
    </row>
    <row r="10" spans="2:6" x14ac:dyDescent="0.35">
      <c r="C10" t="s">
        <v>9</v>
      </c>
      <c r="D10" s="1">
        <f>F10*0.05</f>
        <v>19700</v>
      </c>
      <c r="E10" s="1">
        <f>F10*0.95</f>
        <v>374300</v>
      </c>
      <c r="F10" s="1">
        <v>394000</v>
      </c>
    </row>
    <row r="11" spans="2:6" x14ac:dyDescent="0.35">
      <c r="C11" t="s">
        <v>10</v>
      </c>
      <c r="D11" s="1">
        <f>F11*0.05</f>
        <v>39400</v>
      </c>
      <c r="E11" s="1">
        <f>F11*0.95</f>
        <v>748600</v>
      </c>
      <c r="F11" s="1">
        <f>F10*2</f>
        <v>788000</v>
      </c>
    </row>
    <row r="14" spans="2:6" x14ac:dyDescent="0.35">
      <c r="C14" t="s">
        <v>11</v>
      </c>
      <c r="D14" s="1">
        <f>SUM(D6:D11)</f>
        <v>809100</v>
      </c>
      <c r="E14" s="1">
        <f>SUM(E6:E11)</f>
        <v>1872900</v>
      </c>
      <c r="F14" s="1">
        <f>SUM(F6:F11)</f>
        <v>2682000</v>
      </c>
    </row>
    <row r="15" spans="2:6" x14ac:dyDescent="0.35">
      <c r="C15" t="s">
        <v>12</v>
      </c>
      <c r="D15" s="2">
        <f>D14/$F14</f>
        <v>0.3016778523489933</v>
      </c>
      <c r="E15" s="2">
        <f>E14/$F14</f>
        <v>0.69832214765100675</v>
      </c>
    </row>
    <row r="17" spans="2:6" x14ac:dyDescent="0.35">
      <c r="B17" s="3" t="s">
        <v>13</v>
      </c>
    </row>
    <row r="18" spans="2:6" x14ac:dyDescent="0.35">
      <c r="B18" t="s">
        <v>1</v>
      </c>
      <c r="D18" t="s">
        <v>2</v>
      </c>
      <c r="E18" t="s">
        <v>3</v>
      </c>
      <c r="F18" t="s">
        <v>4</v>
      </c>
    </row>
    <row r="19" spans="2:6" x14ac:dyDescent="0.35">
      <c r="C19" t="s">
        <v>5</v>
      </c>
      <c r="D19" s="1">
        <v>250000</v>
      </c>
      <c r="E19" s="1">
        <v>250000</v>
      </c>
      <c r="F19" s="1">
        <f t="shared" ref="F19:F20" si="1">SUM(D19:E19)</f>
        <v>500000</v>
      </c>
    </row>
    <row r="20" spans="2:6" x14ac:dyDescent="0.35">
      <c r="C20" t="s">
        <v>6</v>
      </c>
      <c r="D20" s="1">
        <v>250000</v>
      </c>
      <c r="E20" s="1">
        <v>250000</v>
      </c>
      <c r="F20" s="1">
        <f t="shared" si="1"/>
        <v>500000</v>
      </c>
    </row>
    <row r="21" spans="2:6" x14ac:dyDescent="0.35">
      <c r="C21" t="s">
        <v>7</v>
      </c>
      <c r="D21" s="1">
        <v>500000</v>
      </c>
      <c r="E21" s="1">
        <v>0</v>
      </c>
      <c r="F21" s="1">
        <f>SUM(D21:E21)</f>
        <v>500000</v>
      </c>
    </row>
    <row r="22" spans="2:6" x14ac:dyDescent="0.35">
      <c r="B22" t="s">
        <v>8</v>
      </c>
    </row>
    <row r="23" spans="2:6" x14ac:dyDescent="0.35">
      <c r="C23" t="s">
        <v>9</v>
      </c>
      <c r="D23" s="1">
        <f>F23*0.05</f>
        <v>19700</v>
      </c>
      <c r="E23" s="1">
        <f>F23*0.95</f>
        <v>374300</v>
      </c>
      <c r="F23" s="1">
        <v>394000</v>
      </c>
    </row>
    <row r="24" spans="2:6" x14ac:dyDescent="0.35">
      <c r="C24" t="s">
        <v>10</v>
      </c>
      <c r="D24" s="1">
        <f>F24*0.05</f>
        <v>39400</v>
      </c>
      <c r="E24" s="1">
        <f>F24*0.95</f>
        <v>748600</v>
      </c>
      <c r="F24" s="1">
        <f>F23*2</f>
        <v>788000</v>
      </c>
    </row>
    <row r="27" spans="2:6" x14ac:dyDescent="0.35">
      <c r="C27" t="s">
        <v>11</v>
      </c>
      <c r="D27" s="1">
        <f>SUM(D19:D24)</f>
        <v>1059100</v>
      </c>
      <c r="E27" s="1">
        <f>SUM(E19:E24)</f>
        <v>1622900</v>
      </c>
      <c r="F27" s="1">
        <f>SUM(F19:F24)</f>
        <v>2682000</v>
      </c>
    </row>
    <row r="28" spans="2:6" x14ac:dyDescent="0.35">
      <c r="C28" t="s">
        <v>12</v>
      </c>
      <c r="D28" s="2">
        <f>D27/$F27</f>
        <v>0.39489187173750934</v>
      </c>
      <c r="E28" s="2">
        <f>E27/$F27</f>
        <v>0.60510812826249072</v>
      </c>
    </row>
    <row r="30" spans="2:6" x14ac:dyDescent="0.35">
      <c r="B30" s="3" t="s">
        <v>14</v>
      </c>
    </row>
    <row r="31" spans="2:6" x14ac:dyDescent="0.35">
      <c r="B31" t="s">
        <v>1</v>
      </c>
      <c r="D31" t="s">
        <v>2</v>
      </c>
      <c r="E31" t="s">
        <v>3</v>
      </c>
      <c r="F31" t="s">
        <v>4</v>
      </c>
    </row>
    <row r="32" spans="2:6" x14ac:dyDescent="0.35">
      <c r="C32" t="s">
        <v>5</v>
      </c>
      <c r="D32" s="1">
        <v>500000</v>
      </c>
      <c r="E32" s="1">
        <v>0</v>
      </c>
      <c r="F32" s="1">
        <f t="shared" ref="F32:F33" si="2">SUM(D32:E32)</f>
        <v>500000</v>
      </c>
    </row>
    <row r="33" spans="2:8" x14ac:dyDescent="0.35">
      <c r="C33" t="s">
        <v>6</v>
      </c>
      <c r="D33" s="1">
        <v>281900</v>
      </c>
      <c r="E33" s="1">
        <v>218100</v>
      </c>
      <c r="F33" s="1">
        <f t="shared" si="2"/>
        <v>500000</v>
      </c>
    </row>
    <row r="34" spans="2:8" x14ac:dyDescent="0.35">
      <c r="C34" t="s">
        <v>7</v>
      </c>
      <c r="D34" s="1">
        <v>500000</v>
      </c>
      <c r="E34" s="1">
        <v>0</v>
      </c>
      <c r="F34" s="1">
        <f>SUM(D34:E34)</f>
        <v>500000</v>
      </c>
    </row>
    <row r="35" spans="2:8" x14ac:dyDescent="0.35">
      <c r="B35" t="s">
        <v>8</v>
      </c>
    </row>
    <row r="36" spans="2:8" x14ac:dyDescent="0.35">
      <c r="C36" t="s">
        <v>9</v>
      </c>
      <c r="D36" s="1">
        <f>F36*0.05</f>
        <v>19700</v>
      </c>
      <c r="E36" s="1">
        <f>F36*0.95</f>
        <v>374300</v>
      </c>
      <c r="F36" s="1">
        <v>394000</v>
      </c>
    </row>
    <row r="37" spans="2:8" x14ac:dyDescent="0.35">
      <c r="C37" t="s">
        <v>10</v>
      </c>
      <c r="D37" s="1">
        <f>F37*0.05</f>
        <v>39400</v>
      </c>
      <c r="E37" s="1">
        <f>F37*0.95</f>
        <v>748600</v>
      </c>
      <c r="F37" s="1">
        <f>F36*2</f>
        <v>788000</v>
      </c>
    </row>
    <row r="40" spans="2:8" x14ac:dyDescent="0.35">
      <c r="C40" t="s">
        <v>11</v>
      </c>
      <c r="D40" s="1">
        <f>SUM(D32:D37)</f>
        <v>1341000</v>
      </c>
      <c r="E40" s="1">
        <f>SUM(E32:E37)</f>
        <v>1341000</v>
      </c>
      <c r="F40" s="1">
        <f>SUM(F32:F37)</f>
        <v>2682000</v>
      </c>
      <c r="H40" s="1">
        <f>E40-D40</f>
        <v>0</v>
      </c>
    </row>
    <row r="41" spans="2:8" x14ac:dyDescent="0.35">
      <c r="C41" t="s">
        <v>12</v>
      </c>
      <c r="D41" s="2">
        <f>D40/$F40</f>
        <v>0.5</v>
      </c>
      <c r="E41" s="2">
        <f>E40/$F40</f>
        <v>0.5</v>
      </c>
      <c r="H41" s="1">
        <f>H40/2</f>
        <v>0</v>
      </c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35107-D484-48CD-95D3-D562108035AA}">
  <sheetPr codeName="Sheet3"/>
  <dimension ref="B4:H41"/>
  <sheetViews>
    <sheetView topLeftCell="A18" workbookViewId="0">
      <selection activeCell="C43" sqref="C43"/>
    </sheetView>
  </sheetViews>
  <sheetFormatPr defaultRowHeight="14.5" x14ac:dyDescent="0.35"/>
  <cols>
    <col min="3" max="3" width="33.453125" bestFit="1" customWidth="1"/>
    <col min="4" max="6" width="10.453125" bestFit="1" customWidth="1"/>
  </cols>
  <sheetData>
    <row r="4" spans="2:6" x14ac:dyDescent="0.35">
      <c r="B4" s="3" t="s">
        <v>0</v>
      </c>
    </row>
    <row r="5" spans="2:6" x14ac:dyDescent="0.35">
      <c r="B5" t="s">
        <v>1</v>
      </c>
      <c r="D5" t="s">
        <v>2</v>
      </c>
      <c r="E5" t="s">
        <v>3</v>
      </c>
      <c r="F5" t="s">
        <v>4</v>
      </c>
    </row>
    <row r="6" spans="2:6" x14ac:dyDescent="0.35">
      <c r="C6" t="s">
        <v>5</v>
      </c>
      <c r="D6" s="1">
        <v>250000</v>
      </c>
      <c r="E6" s="1">
        <v>250000</v>
      </c>
      <c r="F6" s="1">
        <f t="shared" ref="F6:F7" si="0">SUM(D6:E6)</f>
        <v>500000</v>
      </c>
    </row>
    <row r="7" spans="2:6" x14ac:dyDescent="0.35">
      <c r="C7" t="s">
        <v>6</v>
      </c>
      <c r="D7" s="1">
        <v>0</v>
      </c>
      <c r="E7" s="1">
        <v>500000</v>
      </c>
      <c r="F7" s="1">
        <f t="shared" si="0"/>
        <v>500000</v>
      </c>
    </row>
    <row r="8" spans="2:6" x14ac:dyDescent="0.35">
      <c r="C8" t="s">
        <v>7</v>
      </c>
      <c r="D8" s="1">
        <v>0</v>
      </c>
      <c r="E8" s="1">
        <v>0</v>
      </c>
      <c r="F8" s="1">
        <f>SUM(D8:E8)</f>
        <v>0</v>
      </c>
    </row>
    <row r="9" spans="2:6" x14ac:dyDescent="0.35">
      <c r="B9" t="s">
        <v>8</v>
      </c>
    </row>
    <row r="10" spans="2:6" x14ac:dyDescent="0.35">
      <c r="C10" t="s">
        <v>9</v>
      </c>
      <c r="D10" s="1">
        <f>F10*0.05</f>
        <v>19700</v>
      </c>
      <c r="E10" s="1">
        <f>F10*0.95</f>
        <v>374300</v>
      </c>
      <c r="F10" s="1">
        <v>394000</v>
      </c>
    </row>
    <row r="11" spans="2:6" x14ac:dyDescent="0.35">
      <c r="C11" t="s">
        <v>10</v>
      </c>
      <c r="D11" s="1">
        <f>F11*0.05</f>
        <v>39400</v>
      </c>
      <c r="E11" s="1">
        <f>F11*0.95</f>
        <v>748600</v>
      </c>
      <c r="F11" s="1">
        <f>F10*2</f>
        <v>788000</v>
      </c>
    </row>
    <row r="14" spans="2:6" x14ac:dyDescent="0.35">
      <c r="C14" t="s">
        <v>11</v>
      </c>
      <c r="D14" s="1">
        <f>SUM(D6:D11)</f>
        <v>309100</v>
      </c>
      <c r="E14" s="1">
        <f>SUM(E6:E11)</f>
        <v>1872900</v>
      </c>
      <c r="F14" s="1">
        <f>SUM(F6:F11)</f>
        <v>2182000</v>
      </c>
    </row>
    <row r="15" spans="2:6" x14ac:dyDescent="0.35">
      <c r="C15" t="s">
        <v>12</v>
      </c>
      <c r="D15" s="2">
        <f>D14/$F14</f>
        <v>0.14165902841429881</v>
      </c>
      <c r="E15" s="2">
        <f>E14/$F14</f>
        <v>0.85834097158570122</v>
      </c>
    </row>
    <row r="17" spans="2:6" x14ac:dyDescent="0.35">
      <c r="B17" s="3" t="s">
        <v>13</v>
      </c>
    </row>
    <row r="18" spans="2:6" x14ac:dyDescent="0.35">
      <c r="B18" t="s">
        <v>1</v>
      </c>
      <c r="D18" t="s">
        <v>2</v>
      </c>
      <c r="E18" t="s">
        <v>3</v>
      </c>
      <c r="F18" t="s">
        <v>4</v>
      </c>
    </row>
    <row r="19" spans="2:6" x14ac:dyDescent="0.35">
      <c r="C19" t="s">
        <v>5</v>
      </c>
      <c r="D19" s="1">
        <v>250000</v>
      </c>
      <c r="E19" s="1">
        <v>250000</v>
      </c>
      <c r="F19" s="1">
        <f t="shared" ref="F19:F20" si="1">SUM(D19:E19)</f>
        <v>500000</v>
      </c>
    </row>
    <row r="20" spans="2:6" x14ac:dyDescent="0.35">
      <c r="C20" t="s">
        <v>6</v>
      </c>
      <c r="D20" s="1">
        <v>250000</v>
      </c>
      <c r="E20" s="1">
        <v>250000</v>
      </c>
      <c r="F20" s="1">
        <f t="shared" si="1"/>
        <v>500000</v>
      </c>
    </row>
    <row r="21" spans="2:6" x14ac:dyDescent="0.35">
      <c r="C21" t="s">
        <v>7</v>
      </c>
      <c r="D21" s="1">
        <v>0</v>
      </c>
      <c r="E21" s="1">
        <v>0</v>
      </c>
      <c r="F21" s="1">
        <f>SUM(D21:E21)</f>
        <v>0</v>
      </c>
    </row>
    <row r="22" spans="2:6" x14ac:dyDescent="0.35">
      <c r="B22" t="s">
        <v>8</v>
      </c>
    </row>
    <row r="23" spans="2:6" x14ac:dyDescent="0.35">
      <c r="C23" t="s">
        <v>9</v>
      </c>
      <c r="D23" s="1">
        <f>F23*0.05</f>
        <v>19700</v>
      </c>
      <c r="E23" s="1">
        <f>F23*0.95</f>
        <v>374300</v>
      </c>
      <c r="F23" s="1">
        <v>394000</v>
      </c>
    </row>
    <row r="24" spans="2:6" x14ac:dyDescent="0.35">
      <c r="C24" t="s">
        <v>10</v>
      </c>
      <c r="D24" s="1">
        <f>F24*0.05</f>
        <v>39400</v>
      </c>
      <c r="E24" s="1">
        <f>F24*0.95</f>
        <v>748600</v>
      </c>
      <c r="F24" s="1">
        <f>F23*2</f>
        <v>788000</v>
      </c>
    </row>
    <row r="27" spans="2:6" x14ac:dyDescent="0.35">
      <c r="C27" t="s">
        <v>11</v>
      </c>
      <c r="D27" s="1">
        <f>SUM(D19:D24)</f>
        <v>559100</v>
      </c>
      <c r="E27" s="1">
        <f>SUM(E19:E24)</f>
        <v>1622900</v>
      </c>
      <c r="F27" s="1">
        <f>SUM(F19:F24)</f>
        <v>2182000</v>
      </c>
    </row>
    <row r="28" spans="2:6" x14ac:dyDescent="0.35">
      <c r="C28" t="s">
        <v>12</v>
      </c>
      <c r="D28" s="2">
        <f>D27/$F27</f>
        <v>0.25623281393217234</v>
      </c>
      <c r="E28" s="2">
        <f>E27/$F27</f>
        <v>0.74376718606782766</v>
      </c>
    </row>
    <row r="30" spans="2:6" x14ac:dyDescent="0.35">
      <c r="B30" s="3" t="s">
        <v>14</v>
      </c>
    </row>
    <row r="31" spans="2:6" x14ac:dyDescent="0.35">
      <c r="B31" t="s">
        <v>1</v>
      </c>
      <c r="D31" t="s">
        <v>2</v>
      </c>
      <c r="E31" t="s">
        <v>3</v>
      </c>
      <c r="F31" t="s">
        <v>4</v>
      </c>
    </row>
    <row r="32" spans="2:6" x14ac:dyDescent="0.35">
      <c r="C32" t="s">
        <v>5</v>
      </c>
      <c r="D32" s="1">
        <v>500000</v>
      </c>
      <c r="E32" s="1">
        <v>0</v>
      </c>
      <c r="F32" s="1">
        <f t="shared" ref="F32:F33" si="2">SUM(D32:E32)</f>
        <v>500000</v>
      </c>
    </row>
    <row r="33" spans="2:8" x14ac:dyDescent="0.35">
      <c r="C33" t="s">
        <v>6</v>
      </c>
      <c r="D33" s="1">
        <v>500000</v>
      </c>
      <c r="E33" s="1">
        <v>0</v>
      </c>
      <c r="F33" s="1">
        <f t="shared" si="2"/>
        <v>500000</v>
      </c>
    </row>
    <row r="34" spans="2:8" x14ac:dyDescent="0.35">
      <c r="C34" t="s">
        <v>7</v>
      </c>
      <c r="D34" s="1">
        <v>0</v>
      </c>
      <c r="E34" s="1">
        <v>0</v>
      </c>
      <c r="F34" s="1">
        <f>SUM(D34:E34)</f>
        <v>0</v>
      </c>
    </row>
    <row r="35" spans="2:8" x14ac:dyDescent="0.35">
      <c r="B35" t="s">
        <v>8</v>
      </c>
    </row>
    <row r="36" spans="2:8" x14ac:dyDescent="0.35">
      <c r="C36" t="s">
        <v>9</v>
      </c>
      <c r="D36" s="1">
        <f>F36*0.05</f>
        <v>19700</v>
      </c>
      <c r="E36" s="1">
        <f>F36*0.95</f>
        <v>374300</v>
      </c>
      <c r="F36" s="1">
        <v>394000</v>
      </c>
    </row>
    <row r="37" spans="2:8" x14ac:dyDescent="0.35">
      <c r="C37" t="s">
        <v>10</v>
      </c>
      <c r="D37" s="1">
        <f>F37*0.05</f>
        <v>39400</v>
      </c>
      <c r="E37" s="1">
        <f>F37*0.95</f>
        <v>748600</v>
      </c>
      <c r="F37" s="1">
        <f>F36*2</f>
        <v>788000</v>
      </c>
    </row>
    <row r="40" spans="2:8" x14ac:dyDescent="0.35">
      <c r="C40" t="s">
        <v>11</v>
      </c>
      <c r="D40" s="1">
        <f>SUM(D32:D37)</f>
        <v>1059100</v>
      </c>
      <c r="E40" s="1">
        <f>SUM(E32:E37)</f>
        <v>1122900</v>
      </c>
      <c r="F40" s="1">
        <f>SUM(F32:F37)</f>
        <v>2182000</v>
      </c>
      <c r="H40" s="1"/>
    </row>
    <row r="41" spans="2:8" x14ac:dyDescent="0.35">
      <c r="C41" t="s">
        <v>12</v>
      </c>
      <c r="D41" s="2">
        <f>D40/$F40</f>
        <v>0.48538038496791935</v>
      </c>
      <c r="E41" s="2">
        <f>E40/$F40</f>
        <v>0.51461961503208065</v>
      </c>
      <c r="H41" s="1">
        <f>H40/2</f>
        <v>0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3FE1-E61B-4496-960B-94C70797004D}">
  <sheetPr codeName="Sheet4"/>
  <dimension ref="A1"/>
  <sheetViews>
    <sheetView tabSelected="1" topLeftCell="A3" workbookViewId="0">
      <selection activeCell="N8" sqref="N8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4D8BD-180B-4C48-BCCB-4D0F5955C4FC}">
  <sheetPr codeName="Sheet5"/>
  <dimension ref="A1:P42"/>
  <sheetViews>
    <sheetView showGridLines="0" zoomScaleNormal="100" workbookViewId="0">
      <pane xSplit="3" ySplit="3" topLeftCell="D5" activePane="bottomRight" state="frozen"/>
      <selection pane="topRight" activeCell="D1" sqref="D1"/>
      <selection pane="bottomLeft" activeCell="A4" sqref="A4"/>
      <selection pane="bottomRight" activeCell="D10" sqref="D10"/>
    </sheetView>
  </sheetViews>
  <sheetFormatPr defaultColWidth="8.81640625" defaultRowHeight="14.5" x14ac:dyDescent="0.35"/>
  <cols>
    <col min="1" max="1" width="32.81640625" customWidth="1"/>
    <col min="2" max="2" width="19.08984375" customWidth="1"/>
    <col min="3" max="3" width="6.453125" customWidth="1"/>
    <col min="4" max="5" width="11.453125" customWidth="1"/>
    <col min="6" max="7" width="11.81640625" customWidth="1"/>
    <col min="8" max="8" width="10.1796875" customWidth="1"/>
    <col min="9" max="9" width="4.36328125" customWidth="1"/>
    <col min="10" max="10" width="14" customWidth="1"/>
    <col min="11" max="11" width="13.54296875" customWidth="1"/>
    <col min="12" max="12" width="11.1796875" customWidth="1"/>
    <col min="13" max="13" width="12.54296875" customWidth="1"/>
    <col min="14" max="14" width="10.81640625" customWidth="1"/>
    <col min="15" max="15" width="9.81640625" bestFit="1" customWidth="1"/>
    <col min="16" max="16" width="9.90625" bestFit="1" customWidth="1"/>
  </cols>
  <sheetData>
    <row r="1" spans="1:16" ht="15" thickBot="1" x14ac:dyDescent="0.4">
      <c r="A1" s="60" t="s">
        <v>139</v>
      </c>
      <c r="B1" s="3"/>
      <c r="C1" s="3"/>
      <c r="D1" s="61" t="s">
        <v>140</v>
      </c>
      <c r="E1" s="62"/>
    </row>
    <row r="2" spans="1:16" ht="15" thickBot="1" x14ac:dyDescent="0.4"/>
    <row r="3" spans="1:16" s="9" customFormat="1" ht="15" thickBot="1" x14ac:dyDescent="0.4">
      <c r="A3" t="s">
        <v>37</v>
      </c>
      <c r="B3" s="13" t="s">
        <v>41</v>
      </c>
    </row>
    <row r="4" spans="1:16" ht="15" thickBot="1" x14ac:dyDescent="0.4">
      <c r="A4" t="s">
        <v>135</v>
      </c>
      <c r="B4" s="49">
        <v>100000</v>
      </c>
      <c r="C4" s="1"/>
      <c r="D4" s="3" t="s">
        <v>141</v>
      </c>
    </row>
    <row r="5" spans="1:16" ht="15" thickBot="1" x14ac:dyDescent="0.4">
      <c r="A5" t="s">
        <v>136</v>
      </c>
      <c r="B5" s="49">
        <v>100000</v>
      </c>
      <c r="D5" s="79">
        <f>SUM(B4:B6)</f>
        <v>250000</v>
      </c>
      <c r="E5" t="s">
        <v>145</v>
      </c>
    </row>
    <row r="6" spans="1:16" ht="15" thickBot="1" x14ac:dyDescent="0.4">
      <c r="A6" t="s">
        <v>137</v>
      </c>
      <c r="B6" s="49">
        <v>50000</v>
      </c>
      <c r="D6" s="55">
        <f>SUM(HDAllocs)</f>
        <v>1680510.0532859117</v>
      </c>
      <c r="E6" t="s">
        <v>47</v>
      </c>
      <c r="I6" s="3"/>
      <c r="J6" s="3"/>
      <c r="K6" s="3"/>
      <c r="L6" s="3"/>
    </row>
    <row r="7" spans="1:16" ht="15" thickBot="1" x14ac:dyDescent="0.4">
      <c r="A7" t="s">
        <v>25</v>
      </c>
      <c r="B7" s="49">
        <v>50000</v>
      </c>
      <c r="C7" s="1"/>
      <c r="D7" s="56">
        <f>SUM(LDAllocs)</f>
        <v>1289548.1902902243</v>
      </c>
      <c r="E7" t="s">
        <v>121</v>
      </c>
      <c r="F7" s="12"/>
    </row>
    <row r="8" spans="1:16" ht="15" thickBot="1" x14ac:dyDescent="0.4">
      <c r="A8" t="s">
        <v>48</v>
      </c>
      <c r="B8" s="50" t="s">
        <v>32</v>
      </c>
      <c r="D8" s="81" cm="1">
        <f t="array" ref="D8">F0+H0-L0</f>
        <v>640961.86299568741</v>
      </c>
      <c r="E8" t="str">
        <f>"&lt;-Estimated Net Worth"&amp;IF(W0&gt;0,""," .WARNING: With your current inputs, Net Worth is negative, so not all calculations are plausable.")</f>
        <v>&lt;-Estimated Net Worth</v>
      </c>
    </row>
    <row r="9" spans="1:16" ht="15" thickBot="1" x14ac:dyDescent="0.4">
      <c r="A9" t="s">
        <v>34</v>
      </c>
      <c r="B9" s="51">
        <v>15000</v>
      </c>
      <c r="C9" s="1"/>
      <c r="D9" s="56">
        <f>NondiscConsump+W0/Delta0</f>
        <v>60317.198165719106</v>
      </c>
      <c r="E9" t="s">
        <v>122</v>
      </c>
      <c r="F9" s="8"/>
      <c r="I9" s="1"/>
      <c r="J9" s="1"/>
      <c r="K9" s="1"/>
      <c r="L9" s="1"/>
    </row>
    <row r="10" spans="1:16" ht="15" thickBot="1" x14ac:dyDescent="0.4">
      <c r="A10" t="s">
        <v>35</v>
      </c>
      <c r="B10" s="52">
        <v>0.5</v>
      </c>
      <c r="C10" s="1"/>
      <c r="D10" s="55" cm="1">
        <f t="array" ref="D10">OptBeq(MaxBeq,MaxConsump,InvParams,gamma,phi)</f>
        <v>674881.17658492294</v>
      </c>
      <c r="E10" t="s">
        <v>114</v>
      </c>
    </row>
    <row r="11" spans="1:16" ht="15" thickBot="1" x14ac:dyDescent="0.4">
      <c r="A11" t="s">
        <v>24</v>
      </c>
      <c r="B11" s="49">
        <v>40000</v>
      </c>
      <c r="C11" s="5"/>
    </row>
    <row r="12" spans="1:16" ht="15" thickBot="1" x14ac:dyDescent="0.4">
      <c r="A12" t="s">
        <v>18</v>
      </c>
      <c r="B12" s="50">
        <v>25</v>
      </c>
      <c r="D12" s="67" t="s">
        <v>142</v>
      </c>
      <c r="E12" s="15"/>
      <c r="F12" s="15"/>
      <c r="G12" s="15"/>
      <c r="H12" s="15"/>
      <c r="I12" s="15"/>
      <c r="J12" s="15"/>
      <c r="K12" s="15"/>
      <c r="L12" s="15"/>
      <c r="M12" s="15"/>
      <c r="N12" s="16"/>
    </row>
    <row r="13" spans="1:16" ht="15" thickBot="1" x14ac:dyDescent="0.4">
      <c r="A13" t="s">
        <v>19</v>
      </c>
      <c r="B13" s="50">
        <v>65</v>
      </c>
      <c r="D13" s="68" t="s">
        <v>2</v>
      </c>
      <c r="E13" s="69" t="s">
        <v>3</v>
      </c>
      <c r="F13" s="69" t="s">
        <v>16</v>
      </c>
      <c r="G13" s="9"/>
      <c r="N13" s="22"/>
      <c r="P13" s="10"/>
    </row>
    <row r="14" spans="1:16" ht="15" thickBot="1" x14ac:dyDescent="0.4">
      <c r="A14" t="s">
        <v>103</v>
      </c>
      <c r="B14" s="50" t="s">
        <v>45</v>
      </c>
      <c r="C14" s="3"/>
      <c r="D14" s="70">
        <f>L21/W0</f>
        <v>0.47061270724318321</v>
      </c>
      <c r="E14" s="70">
        <f>M21/W0</f>
        <v>0.39154519805789706</v>
      </c>
      <c r="F14" s="70">
        <f>N21/W0</f>
        <v>0.13784209469891948</v>
      </c>
      <c r="G14" s="71" t="s">
        <v>127</v>
      </c>
      <c r="N14" s="22"/>
    </row>
    <row r="15" spans="1:16" ht="15" thickBot="1" x14ac:dyDescent="0.4">
      <c r="A15" t="s">
        <v>26</v>
      </c>
      <c r="B15" s="50" t="s">
        <v>32</v>
      </c>
      <c r="C15" s="1"/>
      <c r="D15" s="72">
        <f>F$18/F0</f>
        <v>0.4</v>
      </c>
      <c r="E15" s="72">
        <f>G$18/F0</f>
        <v>0.4</v>
      </c>
      <c r="F15" s="72">
        <f>H$18/F0</f>
        <v>0.2</v>
      </c>
      <c r="G15" t="s">
        <v>128</v>
      </c>
      <c r="N15" s="22"/>
      <c r="O15" s="10"/>
    </row>
    <row r="16" spans="1:16" ht="15" thickBot="1" x14ac:dyDescent="0.4">
      <c r="A16" t="s">
        <v>46</v>
      </c>
      <c r="B16" s="50" t="s">
        <v>29</v>
      </c>
      <c r="C16" s="1"/>
      <c r="D16" s="23"/>
      <c r="H16" s="63" t="s">
        <v>138</v>
      </c>
      <c r="N16" s="22"/>
    </row>
    <row r="17" spans="1:16" ht="15" thickBot="1" x14ac:dyDescent="0.4">
      <c r="A17" t="s">
        <v>51</v>
      </c>
      <c r="B17" s="50" t="s">
        <v>41</v>
      </c>
      <c r="C17" s="1"/>
      <c r="D17" s="17" t="s">
        <v>20</v>
      </c>
      <c r="E17" s="1"/>
      <c r="F17" s="8" t="s">
        <v>2</v>
      </c>
      <c r="G17" s="8" t="s">
        <v>3</v>
      </c>
      <c r="H17" s="59" t="s">
        <v>16</v>
      </c>
      <c r="J17" s="64" t="s">
        <v>17</v>
      </c>
      <c r="K17" s="1"/>
      <c r="L17" s="8" t="s">
        <v>2</v>
      </c>
      <c r="M17" s="8" t="s">
        <v>3</v>
      </c>
      <c r="N17" s="18" t="s">
        <v>16</v>
      </c>
    </row>
    <row r="18" spans="1:16" x14ac:dyDescent="0.35">
      <c r="A18" t="s">
        <v>52</v>
      </c>
      <c r="B18" s="53" t="s">
        <v>116</v>
      </c>
      <c r="C18" s="1"/>
      <c r="D18" s="19" t="s">
        <v>55</v>
      </c>
      <c r="F18" s="65">
        <f t="array" ref="F18:H18">TRANSPOSE($B$4:$B$6)</f>
        <v>100000</v>
      </c>
      <c r="G18" s="65">
        <v>100000</v>
      </c>
      <c r="H18" s="65">
        <v>50000</v>
      </c>
      <c r="J18" s="1" t="s">
        <v>21</v>
      </c>
      <c r="K18" s="1"/>
      <c r="L18" s="65">
        <f>(1-FILiab)*PVNondiscConsump</f>
        <v>170238.31993421188</v>
      </c>
      <c r="M18" s="65">
        <f>FILiab*PVNondiscConsump</f>
        <v>964683.81296053459</v>
      </c>
      <c r="N18" s="20">
        <v>0</v>
      </c>
    </row>
    <row r="19" spans="1:16" x14ac:dyDescent="0.35">
      <c r="C19" s="5"/>
      <c r="D19" s="21"/>
      <c r="F19" s="66"/>
      <c r="G19" s="66"/>
      <c r="H19" s="66"/>
      <c r="J19" s="7" t="s">
        <v>36</v>
      </c>
      <c r="K19" s="6"/>
      <c r="L19" s="65">
        <v>0</v>
      </c>
      <c r="M19" s="65">
        <v>0</v>
      </c>
      <c r="N19" s="20">
        <f>PriceLI*Beq</f>
        <v>154626.05739547784</v>
      </c>
    </row>
    <row r="20" spans="1:16" x14ac:dyDescent="0.35">
      <c r="B20" s="1"/>
      <c r="D20" s="19" t="s">
        <v>22</v>
      </c>
      <c r="F20" s="65">
        <f>EqHC*RiskyHC</f>
        <v>371883.11751824658</v>
      </c>
      <c r="G20" s="65">
        <f>(1-EqHC)*RiskyHC</f>
        <v>1115649.3525547397</v>
      </c>
      <c r="H20" s="65" cm="1">
        <f t="array" ref="H20">PVMatch0(InvParams,rf,TRUE)</f>
        <v>192977.58321292524</v>
      </c>
      <c r="N20" s="22"/>
    </row>
    <row r="21" spans="1:16" x14ac:dyDescent="0.35">
      <c r="C21" s="1"/>
      <c r="D21" s="23"/>
      <c r="I21" s="10"/>
      <c r="J21" s="3" t="s">
        <v>15</v>
      </c>
      <c r="L21" s="65">
        <f>F$18+F$20-L$39</f>
        <v>301644.79758403474</v>
      </c>
      <c r="M21" s="65">
        <f t="shared" ref="M21:N21" si="0">G$18+G$20-M$39</f>
        <v>250965.5395942051</v>
      </c>
      <c r="N21" s="65">
        <f t="shared" si="0"/>
        <v>88351.5258174474</v>
      </c>
      <c r="P21" s="10"/>
    </row>
    <row r="22" spans="1:16" hidden="1" x14ac:dyDescent="0.35">
      <c r="B22" s="3"/>
      <c r="C22" s="3"/>
      <c r="D22" s="23"/>
      <c r="E22" s="24" t="s">
        <v>23</v>
      </c>
      <c r="F22" s="65">
        <f>SUM(F18:F20)</f>
        <v>471883.11751824658</v>
      </c>
      <c r="G22" s="65">
        <f>SUM(G18:G20)</f>
        <v>1215649.3525547397</v>
      </c>
      <c r="H22" s="65">
        <f>SUM(H18:H20)</f>
        <v>242977.58321292524</v>
      </c>
      <c r="K22" s="24" t="s">
        <v>23</v>
      </c>
      <c r="L22" s="65">
        <f>SUM(L18:L21)</f>
        <v>471883.11751824664</v>
      </c>
      <c r="M22" s="65">
        <f>SUM(M18:M21)</f>
        <v>1215649.3525547397</v>
      </c>
      <c r="N22" s="20">
        <f>SUM(N18:N21)</f>
        <v>242977.58321292524</v>
      </c>
    </row>
    <row r="23" spans="1:16" x14ac:dyDescent="0.35">
      <c r="B23" s="1"/>
      <c r="C23" s="1"/>
      <c r="D23" s="23"/>
      <c r="E23" s="24" t="s">
        <v>23</v>
      </c>
      <c r="F23" s="65">
        <f>SUM(F18:F21)</f>
        <v>471883.11751824658</v>
      </c>
      <c r="G23" s="65">
        <f t="shared" ref="G23:H23" si="1">SUM(G18:G21)</f>
        <v>1215649.3525547397</v>
      </c>
      <c r="H23" s="65">
        <f t="shared" si="1"/>
        <v>242977.58321292524</v>
      </c>
      <c r="K23" s="24" t="s">
        <v>23</v>
      </c>
      <c r="L23" s="65">
        <f>SUM(L18:L21)</f>
        <v>471883.11751824664</v>
      </c>
      <c r="M23" s="65">
        <f t="shared" ref="M23:N23" si="2">SUM(M18:M21)</f>
        <v>1215649.3525547397</v>
      </c>
      <c r="N23" s="65">
        <f t="shared" si="2"/>
        <v>242977.58321292524</v>
      </c>
    </row>
    <row r="24" spans="1:16" ht="15" thickBot="1" x14ac:dyDescent="0.4">
      <c r="B24" s="1"/>
      <c r="C24" s="1"/>
      <c r="D24" s="74"/>
      <c r="E24" s="75"/>
      <c r="F24" s="76"/>
      <c r="G24" s="76"/>
      <c r="H24" s="76"/>
      <c r="I24" s="75"/>
      <c r="J24" s="75"/>
      <c r="K24" s="75"/>
      <c r="L24" s="77"/>
      <c r="M24" s="77"/>
      <c r="N24" s="78"/>
    </row>
    <row r="25" spans="1:16" ht="15" thickBot="1" x14ac:dyDescent="0.4"/>
    <row r="26" spans="1:16" x14ac:dyDescent="0.35">
      <c r="B26" s="1"/>
      <c r="C26" s="1"/>
      <c r="D26" s="67" t="s">
        <v>143</v>
      </c>
      <c r="E26" s="15"/>
      <c r="F26" s="15"/>
      <c r="G26" s="15"/>
      <c r="H26" s="15"/>
      <c r="I26" s="15"/>
      <c r="J26" s="15"/>
      <c r="K26" s="15"/>
      <c r="L26" s="15"/>
      <c r="M26" s="15"/>
      <c r="N26" s="16"/>
    </row>
    <row r="27" spans="1:16" x14ac:dyDescent="0.35">
      <c r="B27" s="1"/>
      <c r="C27" s="1"/>
      <c r="D27" s="68" t="s">
        <v>2</v>
      </c>
      <c r="E27" s="69" t="s">
        <v>3</v>
      </c>
      <c r="F27" s="69" t="s">
        <v>16</v>
      </c>
      <c r="G27" s="9"/>
      <c r="N27" s="22"/>
    </row>
    <row r="28" spans="1:16" x14ac:dyDescent="0.35">
      <c r="B28" s="1"/>
      <c r="C28" s="1"/>
      <c r="D28" s="70">
        <f t="array" ref="D28:F28">WPAllocs</f>
        <v>0.47534092861720068</v>
      </c>
      <c r="E28" s="57">
        <v>0.4648247379667631</v>
      </c>
      <c r="F28" s="57">
        <v>5.9834333416035772E-2</v>
      </c>
      <c r="G28" s="71" t="s">
        <v>127</v>
      </c>
      <c r="N28" s="22"/>
    </row>
    <row r="29" spans="1:16" x14ac:dyDescent="0.35">
      <c r="B29" s="5"/>
      <c r="C29" s="5"/>
      <c r="D29" s="72">
        <f t="array" ref="D29:F29">FPAllocs</f>
        <v>0.41212243832218504</v>
      </c>
      <c r="E29" s="73">
        <v>0.58787756167781491</v>
      </c>
      <c r="F29" s="73">
        <v>0</v>
      </c>
      <c r="G29" t="s">
        <v>128</v>
      </c>
      <c r="N29" s="22"/>
    </row>
    <row r="30" spans="1:16" x14ac:dyDescent="0.35">
      <c r="B30" s="4"/>
      <c r="D30" s="23"/>
      <c r="H30" s="63" t="s">
        <v>144</v>
      </c>
      <c r="N30" s="22"/>
    </row>
    <row r="31" spans="1:16" x14ac:dyDescent="0.35">
      <c r="D31" s="17" t="s">
        <v>20</v>
      </c>
      <c r="E31" s="1"/>
      <c r="F31" s="8" t="s">
        <v>2</v>
      </c>
      <c r="G31" s="8" t="s">
        <v>3</v>
      </c>
      <c r="H31" s="59" t="s">
        <v>16</v>
      </c>
      <c r="J31" s="64" t="s">
        <v>17</v>
      </c>
      <c r="K31" s="1"/>
      <c r="L31" s="8" t="s">
        <v>2</v>
      </c>
      <c r="M31" s="8" t="s">
        <v>3</v>
      </c>
      <c r="N31" s="18" t="s">
        <v>16</v>
      </c>
    </row>
    <row r="32" spans="1:16" x14ac:dyDescent="0.35">
      <c r="B32" s="3"/>
      <c r="C32" s="3"/>
      <c r="D32" s="19" t="s">
        <v>55</v>
      </c>
      <c r="F32" s="65">
        <f t="array" ref="F32:H32">FDAllocs</f>
        <v>103030.60958054625</v>
      </c>
      <c r="G32" s="65">
        <v>146969.39041945373</v>
      </c>
      <c r="H32" s="65">
        <v>0</v>
      </c>
      <c r="J32" s="1" t="s">
        <v>21</v>
      </c>
      <c r="K32" s="1"/>
      <c r="L32" s="65">
        <f>(1-FILiab)*PVNondiscConsump</f>
        <v>170238.31993421188</v>
      </c>
      <c r="M32" s="65">
        <f>FILiab*PVNondiscConsump</f>
        <v>964683.81296053459</v>
      </c>
      <c r="N32" s="20">
        <v>0</v>
      </c>
    </row>
    <row r="33" spans="2:16" x14ac:dyDescent="0.35">
      <c r="B33" s="1"/>
      <c r="C33" s="1"/>
      <c r="D33" s="21"/>
      <c r="F33" s="66"/>
      <c r="G33" s="66"/>
      <c r="H33" s="66"/>
      <c r="J33" s="7" t="s">
        <v>36</v>
      </c>
      <c r="K33" s="6"/>
      <c r="L33" s="65">
        <v>0</v>
      </c>
      <c r="M33" s="65">
        <v>0</v>
      </c>
      <c r="N33" s="20">
        <f>PriceLI*Beq</f>
        <v>154626.05739547784</v>
      </c>
    </row>
    <row r="34" spans="2:16" x14ac:dyDescent="0.35">
      <c r="B34" s="1"/>
      <c r="C34" s="1"/>
      <c r="D34" s="19" t="s">
        <v>22</v>
      </c>
      <c r="F34" s="65">
        <f>EqHC*RiskyHC</f>
        <v>371883.11751824658</v>
      </c>
      <c r="G34" s="65">
        <f>(1-EqHC)*RiskyHC</f>
        <v>1115649.3525547397</v>
      </c>
      <c r="H34" s="65" cm="1">
        <f t="array" ref="H34">PVMatch0(InvParams,rf,TRUE)</f>
        <v>192977.58321292524</v>
      </c>
      <c r="N34" s="22"/>
    </row>
    <row r="35" spans="2:16" x14ac:dyDescent="0.35">
      <c r="D35" s="23"/>
      <c r="I35" s="10"/>
      <c r="J35" s="3" t="s">
        <v>15</v>
      </c>
      <c r="L35" s="65">
        <f>F36-(L32+L33)</f>
        <v>304675.407164581</v>
      </c>
      <c r="M35" s="65">
        <f>G36-(M32+M33)</f>
        <v>297934.93001365871</v>
      </c>
      <c r="N35" s="20">
        <f>H36-(N32+N33)</f>
        <v>38351.5258174474</v>
      </c>
      <c r="P35" s="10"/>
    </row>
    <row r="36" spans="2:16" x14ac:dyDescent="0.35">
      <c r="B36" s="1"/>
      <c r="C36" s="1"/>
      <c r="D36" s="23"/>
      <c r="E36" s="24" t="s">
        <v>23</v>
      </c>
      <c r="F36" s="65">
        <f>SUM(F32:F34)</f>
        <v>474913.72709879285</v>
      </c>
      <c r="G36" s="65">
        <f>SUM(G32:G34)</f>
        <v>1262618.7429741933</v>
      </c>
      <c r="H36" s="65">
        <f>SUM(H32:H34)</f>
        <v>192977.58321292524</v>
      </c>
      <c r="K36" s="24" t="s">
        <v>23</v>
      </c>
      <c r="L36" s="65">
        <f>SUM(L32:L35)</f>
        <v>474913.72709879291</v>
      </c>
      <c r="M36" s="65">
        <f>SUM(M32:M35)</f>
        <v>1262618.7429741933</v>
      </c>
      <c r="N36" s="20">
        <f>SUM(N32:N35)</f>
        <v>192977.58321292524</v>
      </c>
    </row>
    <row r="37" spans="2:16" ht="15" thickBot="1" x14ac:dyDescent="0.4">
      <c r="B37" s="1"/>
      <c r="C37" s="1"/>
      <c r="D37" s="74"/>
      <c r="E37" s="75"/>
      <c r="F37" s="76"/>
      <c r="G37" s="76"/>
      <c r="H37" s="76"/>
      <c r="I37" s="75"/>
      <c r="J37" s="75"/>
      <c r="K37" s="75"/>
      <c r="L37" s="77"/>
      <c r="M37" s="77"/>
      <c r="N37" s="78"/>
    </row>
    <row r="38" spans="2:16" x14ac:dyDescent="0.35">
      <c r="B38" s="1"/>
      <c r="C38" s="1"/>
      <c r="D38" s="1"/>
      <c r="E38" s="1"/>
      <c r="I38" s="1"/>
      <c r="J38" s="1"/>
      <c r="K38" s="1"/>
      <c r="L38" s="1"/>
    </row>
    <row r="39" spans="2:16" hidden="1" x14ac:dyDescent="0.35">
      <c r="B39" s="5"/>
      <c r="C39" s="5"/>
      <c r="D39" s="1"/>
      <c r="E39" s="1"/>
      <c r="I39" s="1"/>
      <c r="J39" s="1"/>
      <c r="K39" s="1"/>
      <c r="L39" s="80">
        <f>L$32+L$33</f>
        <v>170238.31993421188</v>
      </c>
      <c r="M39" s="80">
        <f t="shared" ref="M39:N39" si="3">M$32+M$33</f>
        <v>964683.81296053459</v>
      </c>
      <c r="N39" s="80">
        <f t="shared" si="3"/>
        <v>154626.05739547784</v>
      </c>
    </row>
    <row r="40" spans="2:16" x14ac:dyDescent="0.35">
      <c r="D40" s="5"/>
      <c r="I40" s="6"/>
      <c r="J40" s="6"/>
      <c r="K40" s="6"/>
    </row>
    <row r="41" spans="2:16" x14ac:dyDescent="0.35">
      <c r="G41" s="1"/>
    </row>
    <row r="42" spans="2:16" x14ac:dyDescent="0.35">
      <c r="J42" s="4"/>
    </row>
  </sheetData>
  <conditionalFormatting sqref="E8">
    <cfRule type="expression" dxfId="0" priority="1">
      <formula>W0&lt;0</formula>
    </cfRule>
  </conditionalFormatting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D5974B52-3192-446B-905D-FB34C1B445A8}">
          <x14:formula1>
            <xm:f>DropDownMenus!$D$3:$D$5</xm:f>
          </x14:formula1>
          <xm:sqref>B3</xm:sqref>
        </x14:dataValidation>
        <x14:dataValidation type="list" allowBlank="1" showInputMessage="1" showErrorMessage="1" xr:uid="{3985C40C-7C3D-4C04-956B-BBCAF391EC7D}">
          <x14:formula1>
            <xm:f>DropDownMenus!$G$3:$G$5</xm:f>
          </x14:formula1>
          <xm:sqref>B15</xm:sqref>
        </x14:dataValidation>
        <x14:dataValidation type="list" allowBlank="1" showInputMessage="1" showErrorMessage="1" xr:uid="{DDB3739C-12A8-4565-8E6A-A33ADA0C529B}">
          <x14:formula1>
            <xm:f>DropDownMenus!$O$3:$O$4</xm:f>
          </x14:formula1>
          <xm:sqref>B14</xm:sqref>
        </x14:dataValidation>
        <x14:dataValidation type="list" allowBlank="1" showInputMessage="1" showErrorMessage="1" xr:uid="{56404CE6-0EF7-4E34-BC0C-70A90413D83A}">
          <x14:formula1>
            <xm:f>DropDownMenus!$J$3:$J$5</xm:f>
          </x14:formula1>
          <xm:sqref>B8</xm:sqref>
        </x14:dataValidation>
        <x14:dataValidation type="list" allowBlank="1" showInputMessage="1" showErrorMessage="1" xr:uid="{09D143E6-A3BF-4AEE-8300-133252FA73EA}">
          <x14:formula1>
            <xm:f>DropDownMenus!$M$3:$M$6</xm:f>
          </x14:formula1>
          <xm:sqref>B16</xm:sqref>
        </x14:dataValidation>
        <x14:dataValidation type="list" allowBlank="1" showInputMessage="1" showErrorMessage="1" xr:uid="{9D77435C-F08E-45E6-A1A1-5C9863F15BB4}">
          <x14:formula1>
            <xm:f>DropDownMenus!$D$11:$D$13</xm:f>
          </x14:formula1>
          <xm:sqref>B17</xm:sqref>
        </x14:dataValidation>
        <x14:dataValidation type="list" allowBlank="1" showInputMessage="1" showErrorMessage="1" xr:uid="{0B806C70-214B-4226-8235-7F3412B19964}">
          <x14:formula1>
            <xm:f>DropDownMenus!$G$11:$G$13</xm:f>
          </x14:formula1>
          <xm:sqref>B18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4455E-3877-4E18-84A1-DC73AD1B02C6}">
  <sheetPr codeName="Sheet6"/>
  <dimension ref="A1:O23"/>
  <sheetViews>
    <sheetView workbookViewId="0">
      <selection activeCell="B21" sqref="B21"/>
    </sheetView>
  </sheetViews>
  <sheetFormatPr defaultRowHeight="14.5" x14ac:dyDescent="0.35"/>
  <cols>
    <col min="1" max="1" width="25.54296875" customWidth="1"/>
    <col min="2" max="2" width="12.54296875" customWidth="1"/>
    <col min="4" max="5" width="16" customWidth="1"/>
    <col min="6" max="6" width="3.453125" customWidth="1"/>
    <col min="7" max="8" width="16" customWidth="1"/>
    <col min="9" max="9" width="3.453125" customWidth="1"/>
    <col min="10" max="10" width="14.81640625" customWidth="1"/>
    <col min="11" max="11" width="20.81640625" bestFit="1" customWidth="1"/>
    <col min="12" max="12" width="3.81640625" customWidth="1"/>
    <col min="13" max="13" width="12.08984375" customWidth="1"/>
    <col min="14" max="14" width="4.453125" customWidth="1"/>
  </cols>
  <sheetData>
    <row r="1" spans="1:15" ht="58" x14ac:dyDescent="0.35">
      <c r="A1" s="3" t="s">
        <v>88</v>
      </c>
      <c r="B1" s="28" t="s">
        <v>89</v>
      </c>
      <c r="D1" s="3" t="s">
        <v>37</v>
      </c>
      <c r="E1" s="3"/>
      <c r="G1" s="3" t="s">
        <v>26</v>
      </c>
      <c r="H1" s="3"/>
      <c r="J1" s="3" t="s">
        <v>48</v>
      </c>
      <c r="K1" s="3"/>
      <c r="M1" s="14" t="s">
        <v>43</v>
      </c>
      <c r="O1" s="3" t="s">
        <v>103</v>
      </c>
    </row>
    <row r="2" spans="1:15" x14ac:dyDescent="0.35">
      <c r="A2" t="s">
        <v>90</v>
      </c>
      <c r="B2">
        <f>age</f>
        <v>25</v>
      </c>
      <c r="D2" t="s">
        <v>38</v>
      </c>
      <c r="E2" t="s">
        <v>39</v>
      </c>
      <c r="G2" t="s">
        <v>38</v>
      </c>
      <c r="H2" t="s">
        <v>39</v>
      </c>
      <c r="J2" t="s">
        <v>38</v>
      </c>
      <c r="K2" t="s">
        <v>39</v>
      </c>
      <c r="M2" t="s">
        <v>38</v>
      </c>
      <c r="O2" t="s">
        <v>38</v>
      </c>
    </row>
    <row r="3" spans="1:15" x14ac:dyDescent="0.35">
      <c r="A3" t="s">
        <v>103</v>
      </c>
      <c r="B3">
        <f>$O$7</f>
        <v>2</v>
      </c>
      <c r="D3" t="s">
        <v>40</v>
      </c>
      <c r="E3" s="11">
        <v>0.25</v>
      </c>
      <c r="G3" t="s">
        <v>31</v>
      </c>
      <c r="H3">
        <v>-4</v>
      </c>
      <c r="J3" t="s">
        <v>49</v>
      </c>
      <c r="K3" s="11">
        <v>0.1</v>
      </c>
      <c r="M3" t="s">
        <v>27</v>
      </c>
      <c r="O3" t="s">
        <v>44</v>
      </c>
    </row>
    <row r="4" spans="1:15" x14ac:dyDescent="0.35">
      <c r="A4" t="s">
        <v>91</v>
      </c>
      <c r="B4">
        <f>$H$7</f>
        <v>0</v>
      </c>
      <c r="D4" t="s">
        <v>41</v>
      </c>
      <c r="E4" s="11">
        <v>0.5</v>
      </c>
      <c r="G4" t="s">
        <v>32</v>
      </c>
      <c r="H4">
        <v>0</v>
      </c>
      <c r="J4" t="s">
        <v>32</v>
      </c>
      <c r="K4" s="11">
        <v>0.25</v>
      </c>
      <c r="M4" t="s">
        <v>28</v>
      </c>
      <c r="O4" t="s">
        <v>45</v>
      </c>
    </row>
    <row r="5" spans="1:15" x14ac:dyDescent="0.35">
      <c r="A5" t="s">
        <v>92</v>
      </c>
      <c r="B5">
        <f>$M$7</f>
        <v>2</v>
      </c>
      <c r="D5" t="s">
        <v>42</v>
      </c>
      <c r="E5" s="11">
        <v>0.75</v>
      </c>
      <c r="G5" t="s">
        <v>33</v>
      </c>
      <c r="H5">
        <v>4</v>
      </c>
      <c r="J5" t="s">
        <v>50</v>
      </c>
      <c r="K5" s="11">
        <v>0.4</v>
      </c>
      <c r="M5" t="s">
        <v>29</v>
      </c>
    </row>
    <row r="6" spans="1:15" x14ac:dyDescent="0.35">
      <c r="A6" t="s">
        <v>93</v>
      </c>
      <c r="B6">
        <f>Salary</f>
        <v>50000</v>
      </c>
      <c r="M6" t="s">
        <v>30</v>
      </c>
    </row>
    <row r="7" spans="1:15" x14ac:dyDescent="0.35">
      <c r="A7" t="s">
        <v>94</v>
      </c>
      <c r="B7">
        <f>MatchPerc*Contrib</f>
        <v>7500</v>
      </c>
      <c r="D7">
        <f>MATCH(RiskTol,D$3:D$5,0)</f>
        <v>2</v>
      </c>
      <c r="E7" s="45" cm="1">
        <f t="array" ref="E7">INDEX(E$3:E$5,D7,1)</f>
        <v>0.5</v>
      </c>
      <c r="G7">
        <f>MATCH(SubjLifeExp,G$3:G5,0)</f>
        <v>2</v>
      </c>
      <c r="H7" cm="1">
        <f t="array" ref="H7">INDEX(H$3:H$5,$G7,0)</f>
        <v>0</v>
      </c>
      <c r="J7">
        <f>MATCH(RiskHC,J$3:J$5,0)</f>
        <v>2</v>
      </c>
      <c r="K7" s="11" cm="1">
        <f t="array" ref="K7">INDEX(K$3:K$5,$J7,1)</f>
        <v>0.25</v>
      </c>
      <c r="M7">
        <f>MATCH(Educ,M$3:M$6,0)-1</f>
        <v>2</v>
      </c>
      <c r="O7">
        <f>MATCH(sex,O$3:O$4,0)</f>
        <v>2</v>
      </c>
    </row>
    <row r="8" spans="1:15" x14ac:dyDescent="0.35">
      <c r="A8" t="s">
        <v>19</v>
      </c>
      <c r="B8">
        <f>retireAge</f>
        <v>65</v>
      </c>
    </row>
    <row r="9" spans="1:15" x14ac:dyDescent="0.35">
      <c r="A9" t="s">
        <v>95</v>
      </c>
      <c r="B9">
        <f>retireAge</f>
        <v>65</v>
      </c>
      <c r="D9" s="3" t="s">
        <v>51</v>
      </c>
      <c r="G9" s="3" t="s">
        <v>52</v>
      </c>
    </row>
    <row r="10" spans="1:15" x14ac:dyDescent="0.35">
      <c r="A10" t="s">
        <v>96</v>
      </c>
      <c r="B10">
        <f>retireAge</f>
        <v>65</v>
      </c>
      <c r="D10" t="s">
        <v>38</v>
      </c>
      <c r="E10" t="s">
        <v>39</v>
      </c>
      <c r="G10" t="s">
        <v>38</v>
      </c>
      <c r="H10" t="s">
        <v>39</v>
      </c>
    </row>
    <row r="11" spans="1:15" x14ac:dyDescent="0.35">
      <c r="A11" t="s">
        <v>97</v>
      </c>
      <c r="B11">
        <f>NondiscConsump</f>
        <v>40000</v>
      </c>
      <c r="D11" t="s">
        <v>54</v>
      </c>
      <c r="E11" s="44">
        <v>0.75</v>
      </c>
      <c r="G11" s="46" t="s">
        <v>115</v>
      </c>
      <c r="H11" s="44">
        <v>0.25</v>
      </c>
    </row>
    <row r="12" spans="1:15" x14ac:dyDescent="0.35">
      <c r="A12" t="s">
        <v>98</v>
      </c>
      <c r="B12" s="44">
        <v>0.02</v>
      </c>
      <c r="D12" t="s">
        <v>41</v>
      </c>
      <c r="E12" s="44">
        <v>0.5</v>
      </c>
      <c r="G12" s="46" t="s">
        <v>116</v>
      </c>
      <c r="H12" s="44">
        <v>0.1</v>
      </c>
    </row>
    <row r="13" spans="1:15" x14ac:dyDescent="0.35">
      <c r="A13" t="s">
        <v>99</v>
      </c>
      <c r="B13" s="44">
        <v>0.5</v>
      </c>
      <c r="D13" t="s">
        <v>53</v>
      </c>
      <c r="E13" s="44">
        <v>0.25</v>
      </c>
      <c r="G13" s="46" t="s">
        <v>117</v>
      </c>
      <c r="H13" s="44">
        <v>0.05</v>
      </c>
    </row>
    <row r="14" spans="1:15" x14ac:dyDescent="0.35">
      <c r="A14" t="s">
        <v>100</v>
      </c>
      <c r="B14" s="11">
        <f>$E$15</f>
        <v>0.5</v>
      </c>
    </row>
    <row r="15" spans="1:15" x14ac:dyDescent="0.35">
      <c r="A15" t="s">
        <v>101</v>
      </c>
      <c r="B15" s="11">
        <f>$H$15</f>
        <v>0.1</v>
      </c>
      <c r="D15">
        <f>MATCH(Flex,D$11:D$13,0)</f>
        <v>2</v>
      </c>
      <c r="E15" s="45" cm="1">
        <f t="array" ref="E15">INDEX(E$11:E$13,D15,1)</f>
        <v>0.5</v>
      </c>
      <c r="G15">
        <f>MATCH(StrengthBeq,G$11:G$13,0)</f>
        <v>2</v>
      </c>
      <c r="H15" s="45" cm="1">
        <f t="array" ref="H15">INDEX(H$11:H$13,G15,1)</f>
        <v>0.1</v>
      </c>
    </row>
    <row r="16" spans="1:15" x14ac:dyDescent="0.35">
      <c r="A16" t="s">
        <v>102</v>
      </c>
      <c r="B16">
        <f>F0</f>
        <v>250000</v>
      </c>
    </row>
    <row r="18" spans="1:2" x14ac:dyDescent="0.35">
      <c r="A18" t="s">
        <v>109</v>
      </c>
      <c r="B18" s="10" cm="1">
        <f t="array" ref="B18">Liab0(InvParams,kc,TRUE)</f>
        <v>1134922.1328947465</v>
      </c>
    </row>
    <row r="19" spans="1:2" x14ac:dyDescent="0.35">
      <c r="A19" t="s">
        <v>110</v>
      </c>
      <c r="B19" s="48" cm="1">
        <f t="array" ref="B19">HumCap0(InvParams,ky,TRUE,SalCoefs,SIMultLookUp)</f>
        <v>1487532.4700729863</v>
      </c>
    </row>
    <row r="20" spans="1:2" x14ac:dyDescent="0.35">
      <c r="A20" t="s">
        <v>111</v>
      </c>
      <c r="B20" s="47" cm="1">
        <f t="array" ref="B20">LIPermAt(0,rf,InvParams)</f>
        <v>0.2291159729449361</v>
      </c>
    </row>
    <row r="21" spans="1:2" x14ac:dyDescent="0.35">
      <c r="A21" t="s">
        <v>112</v>
      </c>
      <c r="B21" s="10" cm="1">
        <f t="array" ref="B21">MaxBequest(InvParams,h,TRUE,SalCoefs,SIMultLookUp)</f>
        <v>5077697.3131241547</v>
      </c>
    </row>
    <row r="22" spans="1:2" x14ac:dyDescent="0.35">
      <c r="A22" t="s">
        <v>113</v>
      </c>
      <c r="B22" s="10" cm="1">
        <f t="array" ref="B22">ConsumpConstEquiv(InvParams,0,TRUE,h,SalCoefs,SIMultLookUp)</f>
        <v>70271.609630783103</v>
      </c>
    </row>
    <row r="23" spans="1:2" x14ac:dyDescent="0.35">
      <c r="A23" t="s">
        <v>120</v>
      </c>
      <c r="B23" s="32" cm="1">
        <f t="array" ref="B23">DeltaAt(0,InvParams,h,TRUE)</f>
        <v>31.547748748012538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78A28-6ABE-4898-B81C-BD20FF5C2549}">
  <sheetPr codeName="Sheet9"/>
  <dimension ref="A1:E11"/>
  <sheetViews>
    <sheetView workbookViewId="0">
      <selection activeCell="B21" sqref="B21"/>
    </sheetView>
  </sheetViews>
  <sheetFormatPr defaultRowHeight="14.5" x14ac:dyDescent="0.35"/>
  <cols>
    <col min="1" max="1" width="24.08984375" customWidth="1"/>
    <col min="2" max="4" width="10.81640625" customWidth="1"/>
  </cols>
  <sheetData>
    <row r="1" spans="1:5" x14ac:dyDescent="0.35">
      <c r="B1" s="28" t="s">
        <v>2</v>
      </c>
      <c r="C1" s="28" t="s">
        <v>3</v>
      </c>
      <c r="D1" s="28" t="s">
        <v>16</v>
      </c>
    </row>
    <row r="2" spans="1:5" x14ac:dyDescent="0.35">
      <c r="A2" t="s">
        <v>131</v>
      </c>
      <c r="B2" s="10">
        <f>theta*W0</f>
        <v>320480.9314978437</v>
      </c>
      <c r="C2" s="10">
        <f>(1-theta)*W0</f>
        <v>320480.9314978437</v>
      </c>
      <c r="D2" s="10">
        <v>0</v>
      </c>
    </row>
    <row r="3" spans="1:5" x14ac:dyDescent="0.35">
      <c r="A3" t="s">
        <v>129</v>
      </c>
      <c r="B3" s="10">
        <f t="array" ref="B3:D3">HDAllocs</f>
        <v>371883.11751824658</v>
      </c>
      <c r="C3" s="10">
        <v>1115649.3525547397</v>
      </c>
      <c r="D3" s="10">
        <v>192977.58321292524</v>
      </c>
    </row>
    <row r="4" spans="1:5" x14ac:dyDescent="0.35">
      <c r="A4" t="s">
        <v>130</v>
      </c>
      <c r="B4" s="10">
        <f t="array" ref="B4:D4">LDAllocs</f>
        <v>170238.31993421188</v>
      </c>
      <c r="C4" s="10">
        <v>964683.81296053459</v>
      </c>
      <c r="D4" s="10">
        <v>154626.05739547784</v>
      </c>
    </row>
    <row r="5" spans="1:5" x14ac:dyDescent="0.35">
      <c r="A5" t="s">
        <v>123</v>
      </c>
      <c r="B5" s="10">
        <f>B$2-B$3+B$4</f>
        <v>118836.133913809</v>
      </c>
      <c r="C5" s="10">
        <f t="shared" ref="C5:D5" si="0">C$2-C$3+C$4</f>
        <v>169515.39190363861</v>
      </c>
      <c r="D5" s="10">
        <f t="shared" si="0"/>
        <v>-38351.5258174474</v>
      </c>
    </row>
    <row r="6" spans="1:5" x14ac:dyDescent="0.35">
      <c r="A6" t="s">
        <v>124</v>
      </c>
      <c r="B6" s="39">
        <f>B$5/F0</f>
        <v>0.47534453565523599</v>
      </c>
      <c r="C6" s="39">
        <f>C$5/F0</f>
        <v>0.67806156761455438</v>
      </c>
      <c r="D6" s="39">
        <f>D$5/F0</f>
        <v>-0.1534061032697896</v>
      </c>
    </row>
    <row r="7" spans="1:5" x14ac:dyDescent="0.35">
      <c r="A7" t="s">
        <v>125</v>
      </c>
      <c r="B7" s="33" cm="1">
        <f t="array" ref="B7">Constrain(B6)</f>
        <v>0.47534453565523599</v>
      </c>
      <c r="C7" s="33" cm="1">
        <f t="array" ref="C7">Constrain(C6)</f>
        <v>0.67806156761455438</v>
      </c>
      <c r="D7" s="33" cm="1">
        <f t="array" ref="D7">Constrain(D6)</f>
        <v>0</v>
      </c>
      <c r="E7">
        <f>SUM(B7:D7)</f>
        <v>1.1534061032697904</v>
      </c>
    </row>
    <row r="8" spans="1:5" x14ac:dyDescent="0.35">
      <c r="A8" t="s">
        <v>126</v>
      </c>
      <c r="B8" s="33">
        <f>B7/$E7</f>
        <v>0.41212243832218504</v>
      </c>
      <c r="C8" s="33">
        <f t="shared" ref="C8:D8" si="1">C7/$E7</f>
        <v>0.58787756167781491</v>
      </c>
      <c r="D8" s="33">
        <f t="shared" si="1"/>
        <v>0</v>
      </c>
    </row>
    <row r="9" spans="1:5" x14ac:dyDescent="0.35">
      <c r="A9" t="s">
        <v>132</v>
      </c>
      <c r="B9" s="58">
        <f>B8*F0</f>
        <v>103030.60958054625</v>
      </c>
      <c r="C9" s="58">
        <f>C8*F0</f>
        <v>146969.39041945373</v>
      </c>
      <c r="D9" s="58">
        <f>D8*F0</f>
        <v>0</v>
      </c>
    </row>
    <row r="10" spans="1:5" x14ac:dyDescent="0.35">
      <c r="A10" t="s">
        <v>133</v>
      </c>
      <c r="B10" s="10">
        <f>B$9+B$3-B$4</f>
        <v>304675.407164581</v>
      </c>
      <c r="C10" s="10">
        <f t="shared" ref="C10:D10" si="2">C$9+C$3-C$4</f>
        <v>297934.93001365871</v>
      </c>
      <c r="D10" s="10">
        <f t="shared" si="2"/>
        <v>38351.5258174474</v>
      </c>
    </row>
    <row r="11" spans="1:5" x14ac:dyDescent="0.35">
      <c r="A11" t="s">
        <v>134</v>
      </c>
      <c r="B11" s="39">
        <f>B$10/W0</f>
        <v>0.47534092861720068</v>
      </c>
      <c r="C11" s="39">
        <f>C$10/W0</f>
        <v>0.4648247379667631</v>
      </c>
      <c r="D11" s="39">
        <f>D$10/W0</f>
        <v>5.9834333416035772E-2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A5EF3-BE4D-40A5-B75D-D9300B66A33C}">
  <sheetPr codeName="Sheet1"/>
  <dimension ref="A1:AD28"/>
  <sheetViews>
    <sheetView topLeftCell="A2" workbookViewId="0">
      <selection activeCell="B21" sqref="B21"/>
    </sheetView>
  </sheetViews>
  <sheetFormatPr defaultRowHeight="14.5" x14ac:dyDescent="0.35"/>
  <cols>
    <col min="1" max="1" width="8.90625" customWidth="1"/>
    <col min="2" max="2" width="26.90625" customWidth="1"/>
    <col min="3" max="3" width="9.54296875" customWidth="1"/>
    <col min="5" max="7" width="10.36328125" customWidth="1"/>
    <col min="8" max="8" width="10.6328125" customWidth="1"/>
    <col min="13" max="16" width="11.1796875" bestFit="1" customWidth="1"/>
    <col min="17" max="19" width="10.54296875" bestFit="1" customWidth="1"/>
    <col min="20" max="20" width="11.1796875" bestFit="1" customWidth="1"/>
    <col min="22" max="22" width="12.6328125" customWidth="1"/>
    <col min="23" max="30" width="8.90625" customWidth="1"/>
  </cols>
  <sheetData>
    <row r="1" spans="1:30" ht="43.5" x14ac:dyDescent="0.35">
      <c r="A1" s="25"/>
      <c r="B1" s="25" t="s">
        <v>56</v>
      </c>
      <c r="C1" s="27" t="s">
        <v>77</v>
      </c>
      <c r="D1" s="26" t="s">
        <v>57</v>
      </c>
      <c r="E1" s="27" t="s">
        <v>80</v>
      </c>
      <c r="F1" s="27" t="s">
        <v>81</v>
      </c>
      <c r="G1" s="27" t="s">
        <v>82</v>
      </c>
      <c r="H1" s="27" t="s">
        <v>74</v>
      </c>
      <c r="I1" s="27" t="s">
        <v>86</v>
      </c>
      <c r="J1" s="26" t="s">
        <v>58</v>
      </c>
      <c r="K1" s="28" t="s">
        <v>59</v>
      </c>
      <c r="L1" s="28" t="s">
        <v>60</v>
      </c>
      <c r="M1" s="29" t="str">
        <f t="array" ref="M1:T1">TRANSPOSE(ACNames)</f>
        <v>US Large Cap Stocks</v>
      </c>
      <c r="N1" s="29" t="str">
        <v>US Mid Small Cap Stocks</v>
      </c>
      <c r="O1" s="29" t="str">
        <v>Global DM x US Stocks</v>
      </c>
      <c r="P1" s="29" t="str">
        <v>Emerging Market Stocks</v>
      </c>
      <c r="Q1" s="29" t="str">
        <v>US Bonds</v>
      </c>
      <c r="R1" s="29" t="str">
        <v>Inflation Linked Bonds</v>
      </c>
      <c r="S1" s="29" t="str">
        <v>Global Bonds x US</v>
      </c>
      <c r="T1" s="29" t="str">
        <v>Cash</v>
      </c>
      <c r="W1">
        <f t="array" ref="W1:AD1">TRANSPOSE(Stds)</f>
        <v>0.15416269599192498</v>
      </c>
      <c r="X1">
        <v>0.17947067508948727</v>
      </c>
      <c r="Y1">
        <v>0.16710499214012084</v>
      </c>
      <c r="Z1">
        <v>0.21421082758357118</v>
      </c>
      <c r="AA1">
        <v>3.7928394475143415E-2</v>
      </c>
      <c r="AB1">
        <v>5.8131088501727241E-2</v>
      </c>
      <c r="AC1">
        <v>8.3333119056530069E-2</v>
      </c>
      <c r="AD1">
        <v>5.5048886628379081E-3</v>
      </c>
    </row>
    <row r="2" spans="1:30" x14ac:dyDescent="0.35">
      <c r="B2" t="s">
        <v>61</v>
      </c>
      <c r="C2">
        <v>1</v>
      </c>
      <c r="D2" s="30">
        <v>0.17311229703644826</v>
      </c>
      <c r="E2" s="31">
        <f>IF($C2=1,$D2/$D$10,0)</f>
        <v>0.7</v>
      </c>
      <c r="F2" s="31">
        <f>IF($C2=2,$D2/$D$11,0)</f>
        <v>0</v>
      </c>
      <c r="G2" s="31">
        <f>IF($C2=3,$D2/$D$12,0)</f>
        <v>0</v>
      </c>
      <c r="H2" s="31">
        <v>0.1</v>
      </c>
      <c r="I2" s="31">
        <v>0.15</v>
      </c>
      <c r="J2" s="32">
        <f t="shared" ref="J2" si="0">$V2/VarRefPort</f>
        <v>1.431833910883102</v>
      </c>
      <c r="K2" s="33">
        <f t="shared" ref="K2" si="1">PhiCMAs+(MuRef-PhiCMAs)*$J2</f>
        <v>4.6800867001308963E-2</v>
      </c>
      <c r="L2" s="34">
        <v>0.15416269599192498</v>
      </c>
      <c r="M2" s="35">
        <v>1</v>
      </c>
      <c r="N2" s="35">
        <f>M3</f>
        <v>0.91759004500050134</v>
      </c>
      <c r="O2" s="35">
        <f>M4</f>
        <v>0.85769633224614472</v>
      </c>
      <c r="P2" s="35">
        <f>M5</f>
        <v>0.72059537045805289</v>
      </c>
      <c r="Q2" s="35">
        <f>M6</f>
        <v>4.53878054663263E-2</v>
      </c>
      <c r="R2" s="35">
        <f>M7</f>
        <v>0.1571140325581819</v>
      </c>
      <c r="S2" s="35">
        <f>M8</f>
        <v>0.25511641173991734</v>
      </c>
      <c r="T2" s="35">
        <f>M9</f>
        <v>-0.13610178250939553</v>
      </c>
      <c r="V2">
        <f t="array" ref="V2:V9">MMULT(CovMat,RefPort)</f>
        <v>1.307088634642114E-2</v>
      </c>
      <c r="W2">
        <f t="shared" ref="W2:AD9" si="2">$L2*W$1*M2</f>
        <v>2.3766136835498681E-2</v>
      </c>
      <c r="X2">
        <f t="shared" si="2"/>
        <v>2.5387590602155768E-2</v>
      </c>
      <c r="Y2">
        <f t="shared" si="2"/>
        <v>2.2095420642398368E-2</v>
      </c>
      <c r="Z2">
        <f t="shared" si="2"/>
        <v>2.3796450565855668E-2</v>
      </c>
      <c r="AA2">
        <f t="shared" si="2"/>
        <v>2.6538901384189566E-4</v>
      </c>
      <c r="AB2">
        <f t="shared" si="2"/>
        <v>1.4080002352681766E-3</v>
      </c>
      <c r="AC2">
        <f t="shared" si="2"/>
        <v>3.2774443914156152E-3</v>
      </c>
      <c r="AD2">
        <f t="shared" si="2"/>
        <v>-1.1550257049781689E-4</v>
      </c>
    </row>
    <row r="3" spans="1:30" x14ac:dyDescent="0.35">
      <c r="B3" t="s">
        <v>62</v>
      </c>
      <c r="C3">
        <v>1</v>
      </c>
      <c r="D3" s="30">
        <v>7.4190984444192129E-2</v>
      </c>
      <c r="E3" s="31">
        <f t="shared" ref="E3:E9" si="3">IF($C3=1,$D3/$D$10,0)</f>
        <v>0.30000000000000004</v>
      </c>
      <c r="F3" s="31">
        <f t="shared" ref="F3:F9" si="4">IF($C3=2,$D3/$D$11,0)</f>
        <v>0</v>
      </c>
      <c r="G3" s="31">
        <f t="shared" ref="G3:G9" si="5">IF($C3=3,$D3/$D$12,0)</f>
        <v>0</v>
      </c>
      <c r="H3" s="31">
        <v>0.05</v>
      </c>
      <c r="I3" s="31">
        <v>0</v>
      </c>
      <c r="J3" s="32">
        <f t="shared" ref="J3:J9" si="6">$V3/VarRefPort</f>
        <v>1.6523477594736855</v>
      </c>
      <c r="K3" s="33">
        <f t="shared" ref="K3:K9" si="7">PhiCMAs+(MuRef-PhiCMAs)*$J3</f>
        <v>5.0149231574689694E-2</v>
      </c>
      <c r="L3" s="34">
        <v>0.17947067508948727</v>
      </c>
      <c r="M3" s="36">
        <v>0.91759004500050134</v>
      </c>
      <c r="N3" s="35">
        <v>0.99999999999999978</v>
      </c>
      <c r="O3" s="35">
        <f>N4</f>
        <v>0.86897487302226395</v>
      </c>
      <c r="P3" s="35">
        <f>N5</f>
        <v>0.75456811691852166</v>
      </c>
      <c r="Q3" s="35">
        <f>N6</f>
        <v>3.1939054625802571E-2</v>
      </c>
      <c r="R3" s="35">
        <f>N7</f>
        <v>0.16846899358376724</v>
      </c>
      <c r="S3" s="35">
        <f>N8</f>
        <v>0.23359657598713254</v>
      </c>
      <c r="T3" s="35">
        <f>N9</f>
        <v>-9.4413778646605051E-2</v>
      </c>
      <c r="V3">
        <v>1.5083907151998886E-2</v>
      </c>
      <c r="W3">
        <f t="shared" si="2"/>
        <v>2.5387590602155768E-2</v>
      </c>
      <c r="X3">
        <f t="shared" si="2"/>
        <v>3.2209723217076304E-2</v>
      </c>
      <c r="Y3">
        <f t="shared" si="2"/>
        <v>2.6060943787670657E-2</v>
      </c>
      <c r="Z3">
        <f t="shared" si="2"/>
        <v>2.9009040631782834E-2</v>
      </c>
      <c r="AA3">
        <f t="shared" si="2"/>
        <v>2.1741024869993344E-4</v>
      </c>
      <c r="AB3">
        <f t="shared" si="2"/>
        <v>1.7576076454239068E-3</v>
      </c>
      <c r="AC3">
        <f t="shared" si="2"/>
        <v>3.493635615966325E-3</v>
      </c>
      <c r="AD3">
        <f t="shared" si="2"/>
        <v>-9.3277611222908964E-5</v>
      </c>
    </row>
    <row r="4" spans="1:30" x14ac:dyDescent="0.35">
      <c r="B4" t="s">
        <v>63</v>
      </c>
      <c r="C4">
        <v>2</v>
      </c>
      <c r="D4" s="30">
        <v>0.21891677075053934</v>
      </c>
      <c r="E4" s="31">
        <f t="shared" si="3"/>
        <v>0</v>
      </c>
      <c r="F4" s="31">
        <f t="shared" si="4"/>
        <v>0.79406919275123555</v>
      </c>
      <c r="G4" s="31">
        <f t="shared" si="5"/>
        <v>0</v>
      </c>
      <c r="H4" s="31">
        <v>0.05</v>
      </c>
      <c r="I4" s="31">
        <v>0</v>
      </c>
      <c r="J4" s="32">
        <f t="shared" si="6"/>
        <v>1.6729073605412745</v>
      </c>
      <c r="K4" s="33">
        <f t="shared" si="7"/>
        <v>5.0461416230200243E-2</v>
      </c>
      <c r="L4" s="34">
        <v>0.16710499214012084</v>
      </c>
      <c r="M4" s="36">
        <v>0.85769633224614472</v>
      </c>
      <c r="N4" s="36">
        <v>0.86897487302226395</v>
      </c>
      <c r="O4" s="35">
        <v>0.99999999999999989</v>
      </c>
      <c r="P4" s="35">
        <f>O5</f>
        <v>0.85029263876147199</v>
      </c>
      <c r="Q4" s="35">
        <f>O6</f>
        <v>0.11285126567680513</v>
      </c>
      <c r="R4" s="35">
        <f>O7</f>
        <v>0.22911604506298094</v>
      </c>
      <c r="S4" s="35">
        <f>O8</f>
        <v>0.44056925649459744</v>
      </c>
      <c r="T4" s="35">
        <f>O9</f>
        <v>-8.0241670554003983E-2</v>
      </c>
      <c r="V4">
        <v>1.5271591077375728E-2</v>
      </c>
      <c r="W4">
        <f t="shared" si="2"/>
        <v>2.2095420642398368E-2</v>
      </c>
      <c r="X4">
        <f t="shared" si="2"/>
        <v>2.6060943787670657E-2</v>
      </c>
      <c r="Y4">
        <f t="shared" si="2"/>
        <v>2.7924078398149844E-2</v>
      </c>
      <c r="Z4">
        <f t="shared" si="2"/>
        <v>3.0436819069651018E-2</v>
      </c>
      <c r="AA4">
        <f t="shared" si="2"/>
        <v>7.15254037135101E-4</v>
      </c>
      <c r="AB4">
        <f t="shared" si="2"/>
        <v>2.2256321361354041E-3</v>
      </c>
      <c r="AC4">
        <f t="shared" si="2"/>
        <v>6.1350944033008213E-3</v>
      </c>
      <c r="AD4">
        <f t="shared" si="2"/>
        <v>-7.3813861522512394E-5</v>
      </c>
    </row>
    <row r="5" spans="1:30" x14ac:dyDescent="0.35">
      <c r="B5" t="s">
        <v>64</v>
      </c>
      <c r="C5">
        <v>2</v>
      </c>
      <c r="D5" s="30">
        <v>5.6773021460202112E-2</v>
      </c>
      <c r="E5" s="31">
        <f t="shared" si="3"/>
        <v>0</v>
      </c>
      <c r="F5" s="31">
        <f t="shared" si="4"/>
        <v>0.20593080724876442</v>
      </c>
      <c r="G5" s="31">
        <f t="shared" si="5"/>
        <v>0</v>
      </c>
      <c r="H5" s="31">
        <v>0</v>
      </c>
      <c r="I5" s="31">
        <v>0</v>
      </c>
      <c r="J5" s="32">
        <f t="shared" si="6"/>
        <v>1.9085942645351999</v>
      </c>
      <c r="K5" s="33">
        <f t="shared" si="7"/>
        <v>5.404017413945178E-2</v>
      </c>
      <c r="L5" s="34">
        <v>0.21421082758357118</v>
      </c>
      <c r="M5" s="36">
        <v>0.72059537045805289</v>
      </c>
      <c r="N5" s="36">
        <v>0.75456811691852166</v>
      </c>
      <c r="O5" s="36">
        <v>0.85029263876147199</v>
      </c>
      <c r="P5" s="35">
        <v>1</v>
      </c>
      <c r="Q5" s="35">
        <f>P6</f>
        <v>0.10954706740663689</v>
      </c>
      <c r="R5" s="35">
        <f>P7</f>
        <v>0.22919536569229279</v>
      </c>
      <c r="S5" s="35">
        <f>P8</f>
        <v>0.37791603810038399</v>
      </c>
      <c r="T5" s="35">
        <f>P9</f>
        <v>-7.0952834037541435E-2</v>
      </c>
      <c r="V5">
        <v>1.742312325721106E-2</v>
      </c>
      <c r="W5">
        <f t="shared" si="2"/>
        <v>2.3796450565855668E-2</v>
      </c>
      <c r="X5">
        <f t="shared" si="2"/>
        <v>2.9009040631782834E-2</v>
      </c>
      <c r="Y5">
        <f t="shared" si="2"/>
        <v>3.0436819069651018E-2</v>
      </c>
      <c r="Z5">
        <f t="shared" si="2"/>
        <v>4.5886278654038458E-2</v>
      </c>
      <c r="AA5">
        <f t="shared" si="2"/>
        <v>8.900340755303406E-4</v>
      </c>
      <c r="AB5">
        <f t="shared" si="2"/>
        <v>2.8540114178557878E-3</v>
      </c>
      <c r="AC5">
        <f t="shared" si="2"/>
        <v>6.7461249267140319E-3</v>
      </c>
      <c r="AD5">
        <f t="shared" si="2"/>
        <v>-8.3668061270161958E-5</v>
      </c>
    </row>
    <row r="6" spans="1:30" x14ac:dyDescent="0.35">
      <c r="B6" t="s">
        <v>65</v>
      </c>
      <c r="C6">
        <v>3</v>
      </c>
      <c r="D6" s="30">
        <v>0.18658453502895422</v>
      </c>
      <c r="E6" s="31">
        <f t="shared" si="3"/>
        <v>0</v>
      </c>
      <c r="F6" s="31">
        <f t="shared" si="4"/>
        <v>0</v>
      </c>
      <c r="G6" s="31">
        <f t="shared" si="5"/>
        <v>0.39115686741252081</v>
      </c>
      <c r="H6" s="31">
        <v>0.4</v>
      </c>
      <c r="I6" s="31">
        <v>0.4</v>
      </c>
      <c r="J6" s="32">
        <f t="shared" si="6"/>
        <v>0.12043249471388871</v>
      </c>
      <c r="K6" s="33">
        <f t="shared" si="7"/>
        <v>2.6888058479541458E-2</v>
      </c>
      <c r="L6" s="34">
        <v>3.7928394475143415E-2</v>
      </c>
      <c r="M6" s="36">
        <v>4.53878054663263E-2</v>
      </c>
      <c r="N6" s="36">
        <v>3.1939054625802571E-2</v>
      </c>
      <c r="O6" s="36">
        <v>0.11285126567680513</v>
      </c>
      <c r="P6" s="36">
        <v>0.10954706740663689</v>
      </c>
      <c r="Q6" s="35">
        <v>0.99999999999999989</v>
      </c>
      <c r="R6" s="35">
        <f>Q7</f>
        <v>0.78572494262010495</v>
      </c>
      <c r="S6" s="35">
        <f>Q8</f>
        <v>0.62945137137960516</v>
      </c>
      <c r="T6" s="35">
        <f>Q9</f>
        <v>0.1632010758714256</v>
      </c>
      <c r="V6">
        <v>1.0994008724449899E-3</v>
      </c>
      <c r="W6">
        <f t="shared" si="2"/>
        <v>2.6538901384189566E-4</v>
      </c>
      <c r="X6">
        <f t="shared" si="2"/>
        <v>2.1741024869993344E-4</v>
      </c>
      <c r="Y6">
        <f t="shared" si="2"/>
        <v>7.15254037135101E-4</v>
      </c>
      <c r="Z6">
        <f t="shared" si="2"/>
        <v>8.900340755303406E-4</v>
      </c>
      <c r="AA6">
        <f t="shared" si="2"/>
        <v>1.4385631074620893E-3</v>
      </c>
      <c r="AB6">
        <f t="shared" si="2"/>
        <v>1.7323811690892414E-3</v>
      </c>
      <c r="AC6">
        <f t="shared" si="2"/>
        <v>1.9895015440556129E-3</v>
      </c>
      <c r="AD6">
        <f t="shared" si="2"/>
        <v>3.4075011916228741E-5</v>
      </c>
    </row>
    <row r="7" spans="1:30" x14ac:dyDescent="0.35">
      <c r="B7" t="s">
        <v>66</v>
      </c>
      <c r="C7">
        <v>3</v>
      </c>
      <c r="D7" s="34">
        <v>6.219484500965141E-2</v>
      </c>
      <c r="E7" s="31">
        <f t="shared" si="3"/>
        <v>0</v>
      </c>
      <c r="F7" s="31">
        <f t="shared" si="4"/>
        <v>0</v>
      </c>
      <c r="G7" s="31">
        <f t="shared" si="5"/>
        <v>0.13038562247084026</v>
      </c>
      <c r="H7" s="31">
        <v>0.4</v>
      </c>
      <c r="I7" s="31">
        <v>0.45</v>
      </c>
      <c r="J7" s="32">
        <f t="shared" si="6"/>
        <v>0.24416354236514262</v>
      </c>
      <c r="K7" s="33">
        <f t="shared" si="7"/>
        <v>2.8766836883849047E-2</v>
      </c>
      <c r="L7" s="34">
        <v>5.8131088501727241E-2</v>
      </c>
      <c r="M7" s="36">
        <v>0.1571140325581819</v>
      </c>
      <c r="N7" s="36">
        <v>0.16846899358376724</v>
      </c>
      <c r="O7" s="36">
        <v>0.22911604506298094</v>
      </c>
      <c r="P7" s="36">
        <v>0.22919536569229279</v>
      </c>
      <c r="Q7" s="36">
        <v>0.78572494262010495</v>
      </c>
      <c r="R7" s="35">
        <v>1</v>
      </c>
      <c r="S7" s="35">
        <f>R8</f>
        <v>0.60791771215125989</v>
      </c>
      <c r="T7" s="35">
        <f>R9</f>
        <v>6.3178392148024579E-2</v>
      </c>
      <c r="V7">
        <v>2.2289134849627946E-3</v>
      </c>
      <c r="W7">
        <f t="shared" si="2"/>
        <v>1.4080002352681766E-3</v>
      </c>
      <c r="X7">
        <f t="shared" si="2"/>
        <v>1.7576076454239068E-3</v>
      </c>
      <c r="Y7">
        <f t="shared" si="2"/>
        <v>2.2256321361354041E-3</v>
      </c>
      <c r="Z7">
        <f t="shared" si="2"/>
        <v>2.8540114178557878E-3</v>
      </c>
      <c r="AA7">
        <f t="shared" si="2"/>
        <v>1.7323811690892414E-3</v>
      </c>
      <c r="AB7">
        <f t="shared" si="2"/>
        <v>3.379223450395645E-3</v>
      </c>
      <c r="AC7">
        <f t="shared" si="2"/>
        <v>2.9449022882589199E-3</v>
      </c>
      <c r="AD7">
        <f t="shared" si="2"/>
        <v>2.0217412122914354E-5</v>
      </c>
    </row>
    <row r="8" spans="1:30" x14ac:dyDescent="0.35">
      <c r="B8" t="s">
        <v>67</v>
      </c>
      <c r="C8">
        <v>3</v>
      </c>
      <c r="D8" s="30">
        <v>0.22822754627001249</v>
      </c>
      <c r="E8" s="31">
        <f t="shared" si="3"/>
        <v>0</v>
      </c>
      <c r="F8" s="31">
        <f t="shared" si="4"/>
        <v>0</v>
      </c>
      <c r="G8" s="31">
        <f t="shared" si="5"/>
        <v>0.4784575101166389</v>
      </c>
      <c r="H8" s="31">
        <v>0</v>
      </c>
      <c r="I8" s="31">
        <v>0</v>
      </c>
      <c r="J8" s="32">
        <f t="shared" si="6"/>
        <v>0.51396925013295247</v>
      </c>
      <c r="K8" s="33">
        <f t="shared" si="7"/>
        <v>3.2863667442835663E-2</v>
      </c>
      <c r="L8" s="34">
        <v>8.3333119056530069E-2</v>
      </c>
      <c r="M8" s="36">
        <v>0.25511641173991734</v>
      </c>
      <c r="N8" s="36">
        <v>0.23359657598713254</v>
      </c>
      <c r="O8" s="36">
        <v>0.44056925649459744</v>
      </c>
      <c r="P8" s="36">
        <v>0.37791603810038399</v>
      </c>
      <c r="Q8" s="36">
        <v>0.62945137137960516</v>
      </c>
      <c r="R8" s="36">
        <v>0.60791771215125989</v>
      </c>
      <c r="S8" s="35">
        <v>1</v>
      </c>
      <c r="T8" s="35">
        <f>S9</f>
        <v>4.3155848170059734E-2</v>
      </c>
      <c r="V8">
        <v>4.691908469956328E-3</v>
      </c>
      <c r="W8">
        <f t="shared" si="2"/>
        <v>3.2774443914156152E-3</v>
      </c>
      <c r="X8">
        <f t="shared" si="2"/>
        <v>3.493635615966325E-3</v>
      </c>
      <c r="Y8">
        <f t="shared" si="2"/>
        <v>6.1350944033008213E-3</v>
      </c>
      <c r="Z8">
        <f t="shared" si="2"/>
        <v>6.7461249267140319E-3</v>
      </c>
      <c r="AA8">
        <f t="shared" si="2"/>
        <v>1.9895015440556129E-3</v>
      </c>
      <c r="AB8">
        <f t="shared" si="2"/>
        <v>2.9449022882589199E-3</v>
      </c>
      <c r="AC8">
        <f t="shared" si="2"/>
        <v>6.9444087316898146E-3</v>
      </c>
      <c r="AD8">
        <f t="shared" si="2"/>
        <v>1.9797294038534874E-5</v>
      </c>
    </row>
    <row r="9" spans="1:30" x14ac:dyDescent="0.35">
      <c r="B9" t="s">
        <v>16</v>
      </c>
      <c r="C9">
        <v>3</v>
      </c>
      <c r="D9" s="30">
        <v>0</v>
      </c>
      <c r="E9" s="31">
        <f t="shared" si="3"/>
        <v>0</v>
      </c>
      <c r="F9" s="31">
        <f t="shared" si="4"/>
        <v>0</v>
      </c>
      <c r="G9" s="31">
        <f t="shared" si="5"/>
        <v>0</v>
      </c>
      <c r="H9" s="31">
        <v>0</v>
      </c>
      <c r="I9" s="31">
        <v>0</v>
      </c>
      <c r="J9" s="32">
        <f t="shared" si="6"/>
        <v>-3.9097125229426294E-3</v>
      </c>
      <c r="K9" s="33">
        <f t="shared" si="7"/>
        <v>2.5000000000000001E-2</v>
      </c>
      <c r="L9" s="34">
        <v>5.5048886628379081E-3</v>
      </c>
      <c r="M9" s="36">
        <v>-0.13610178250939553</v>
      </c>
      <c r="N9" s="36">
        <v>-9.4413778646605051E-2</v>
      </c>
      <c r="O9" s="36">
        <v>-8.0241670554003983E-2</v>
      </c>
      <c r="P9" s="36">
        <v>-7.0952834037541435E-2</v>
      </c>
      <c r="Q9" s="36">
        <v>0.1632010758714256</v>
      </c>
      <c r="R9" s="36">
        <v>6.3178392148024579E-2</v>
      </c>
      <c r="S9" s="36">
        <v>4.3155848170059734E-2</v>
      </c>
      <c r="T9" s="35">
        <v>1</v>
      </c>
      <c r="V9">
        <v>-3.5690877025704663E-5</v>
      </c>
      <c r="W9">
        <f t="shared" si="2"/>
        <v>-1.1550257049781689E-4</v>
      </c>
      <c r="X9">
        <f t="shared" si="2"/>
        <v>-9.3277611222908964E-5</v>
      </c>
      <c r="Y9">
        <f t="shared" si="2"/>
        <v>-7.3813861522512394E-5</v>
      </c>
      <c r="Z9">
        <f t="shared" si="2"/>
        <v>-8.3668061270161958E-5</v>
      </c>
      <c r="AA9">
        <f t="shared" si="2"/>
        <v>3.4075011916228741E-5</v>
      </c>
      <c r="AB9">
        <f t="shared" si="2"/>
        <v>2.0217412122914354E-5</v>
      </c>
      <c r="AC9">
        <f t="shared" si="2"/>
        <v>1.9797294038534874E-5</v>
      </c>
      <c r="AD9">
        <f t="shared" si="2"/>
        <v>3.0303799190241333E-5</v>
      </c>
    </row>
    <row r="10" spans="1:30" x14ac:dyDescent="0.35">
      <c r="B10" t="s">
        <v>78</v>
      </c>
      <c r="D10" s="31">
        <f>SUM(D$2:D$3)</f>
        <v>0.2473032814806404</v>
      </c>
      <c r="E10" s="31">
        <f t="shared" ref="E10:I10" si="8">SUM(E$2:E$3)</f>
        <v>1</v>
      </c>
      <c r="F10" s="31">
        <f t="shared" si="8"/>
        <v>0</v>
      </c>
      <c r="G10" s="31">
        <f t="shared" si="8"/>
        <v>0</v>
      </c>
      <c r="H10" s="31">
        <f t="shared" si="8"/>
        <v>0.15000000000000002</v>
      </c>
      <c r="I10" s="31">
        <f t="shared" si="8"/>
        <v>0.15</v>
      </c>
      <c r="J10" s="32"/>
      <c r="K10" s="33"/>
      <c r="L10" s="37"/>
      <c r="M10" s="35"/>
      <c r="N10" s="35"/>
      <c r="O10" s="35"/>
      <c r="P10" s="35"/>
      <c r="Q10" s="35"/>
      <c r="R10" s="35"/>
      <c r="S10" s="35"/>
      <c r="T10" s="35"/>
    </row>
    <row r="11" spans="1:30" x14ac:dyDescent="0.35">
      <c r="B11" t="s">
        <v>79</v>
      </c>
      <c r="D11" s="31">
        <f>SUM(D$4:D$5)</f>
        <v>0.27568979221074147</v>
      </c>
      <c r="E11" s="31">
        <f t="shared" ref="E11:I11" si="9">SUM(E$4:E$5)</f>
        <v>0</v>
      </c>
      <c r="F11" s="31">
        <f t="shared" si="9"/>
        <v>1</v>
      </c>
      <c r="G11" s="31">
        <f t="shared" si="9"/>
        <v>0</v>
      </c>
      <c r="H11" s="31">
        <f t="shared" si="9"/>
        <v>0.05</v>
      </c>
      <c r="I11" s="31">
        <f t="shared" si="9"/>
        <v>0</v>
      </c>
      <c r="J11" s="32"/>
      <c r="K11" s="33"/>
      <c r="L11" s="37"/>
      <c r="M11" s="35"/>
      <c r="N11" s="35"/>
      <c r="O11" s="35"/>
      <c r="P11" s="35"/>
      <c r="Q11" s="35"/>
      <c r="R11" s="35"/>
      <c r="S11" s="35"/>
      <c r="T11" s="35"/>
    </row>
    <row r="12" spans="1:30" x14ac:dyDescent="0.35">
      <c r="B12" t="s">
        <v>69</v>
      </c>
      <c r="D12" s="31">
        <f>SUM(D$6:D$9)</f>
        <v>0.47700692630861813</v>
      </c>
      <c r="E12" s="31">
        <f t="shared" ref="E12:I12" si="10">SUM(E$6:E$9)</f>
        <v>0</v>
      </c>
      <c r="F12" s="31">
        <f t="shared" si="10"/>
        <v>0</v>
      </c>
      <c r="G12" s="31">
        <f t="shared" si="10"/>
        <v>1</v>
      </c>
      <c r="H12" s="31">
        <f t="shared" si="10"/>
        <v>0.8</v>
      </c>
      <c r="I12" s="31">
        <f t="shared" si="10"/>
        <v>0.85000000000000009</v>
      </c>
      <c r="J12" s="32"/>
      <c r="K12" s="33"/>
      <c r="L12" s="37"/>
      <c r="M12" s="35"/>
      <c r="N12" s="35"/>
      <c r="O12" s="35"/>
      <c r="P12" s="35"/>
      <c r="Q12" s="35"/>
      <c r="R12" s="35"/>
      <c r="S12" s="35"/>
      <c r="T12" s="35"/>
    </row>
    <row r="13" spans="1:30" x14ac:dyDescent="0.35">
      <c r="D13" s="31"/>
      <c r="E13" s="31"/>
      <c r="F13" s="31"/>
      <c r="G13" s="31"/>
      <c r="H13" s="31">
        <f>H$10/($H$10+$H$11)</f>
        <v>0.75000000000000011</v>
      </c>
      <c r="I13" s="31"/>
      <c r="J13" s="32"/>
      <c r="L13" s="37"/>
      <c r="M13" s="35"/>
      <c r="N13" s="35"/>
      <c r="O13" s="35"/>
      <c r="P13" s="35"/>
      <c r="Q13" s="35"/>
      <c r="R13" s="35"/>
      <c r="S13" s="35"/>
      <c r="T13" s="35"/>
    </row>
    <row r="14" spans="1:30" x14ac:dyDescent="0.35">
      <c r="B14" t="s">
        <v>70</v>
      </c>
      <c r="D14" s="38">
        <v>4.0243739736843913E-2</v>
      </c>
      <c r="E14" s="39"/>
      <c r="F14" s="39"/>
      <c r="G14" s="39"/>
      <c r="H14" s="39"/>
      <c r="I14" s="39"/>
      <c r="J14" s="32"/>
      <c r="V14" t="s">
        <v>71</v>
      </c>
      <c r="W14">
        <f>SUMPRODUCT(RefPort,V$2:V$9)</f>
        <v>9.1287727208245149E-3</v>
      </c>
    </row>
    <row r="15" spans="1:30" x14ac:dyDescent="0.35">
      <c r="B15" t="s">
        <v>72</v>
      </c>
      <c r="D15" s="38">
        <v>2.5000000000000001E-2</v>
      </c>
      <c r="E15" s="39"/>
      <c r="F15" s="39"/>
      <c r="G15" s="39"/>
      <c r="H15" s="39"/>
      <c r="I15" s="39"/>
      <c r="J15" s="32"/>
      <c r="V15" t="s">
        <v>73</v>
      </c>
      <c r="W15">
        <f>(rf-BetaC*MuRef)/(1-BetaC)</f>
        <v>2.5059366534063945E-2</v>
      </c>
    </row>
    <row r="16" spans="1:30" x14ac:dyDescent="0.35">
      <c r="B16" t="s">
        <v>75</v>
      </c>
      <c r="D16" s="38">
        <v>0.15183062212118401</v>
      </c>
      <c r="E16" s="39"/>
      <c r="F16" s="39"/>
      <c r="G16" s="39"/>
      <c r="I16" s="39"/>
      <c r="J16" s="32"/>
    </row>
    <row r="17" spans="2:11" x14ac:dyDescent="0.35">
      <c r="B17" t="s">
        <v>118</v>
      </c>
      <c r="D17" s="39">
        <f>(1+rf)^(theta-1)*EXP(0.5*theta*(theta-1)*omega^2)</f>
        <v>0.98488748425060779</v>
      </c>
      <c r="E17" s="39"/>
      <c r="F17" s="39"/>
      <c r="G17" s="39"/>
      <c r="I17" s="39"/>
      <c r="J17" s="32"/>
    </row>
    <row r="18" spans="2:11" x14ac:dyDescent="0.35">
      <c r="B18" t="s">
        <v>119</v>
      </c>
      <c r="D18" s="54">
        <f>D17^(1/(theta-1))-1</f>
        <v>3.0924267592862265E-2</v>
      </c>
      <c r="E18" s="28"/>
      <c r="F18" s="28"/>
      <c r="G18" s="28"/>
      <c r="I18" s="3"/>
      <c r="J18" s="28"/>
      <c r="K18" s="28"/>
    </row>
    <row r="19" spans="2:11" ht="29" x14ac:dyDescent="0.35">
      <c r="D19" s="41" t="s">
        <v>68</v>
      </c>
      <c r="E19" s="82" t="s">
        <v>83</v>
      </c>
      <c r="F19" s="82"/>
      <c r="G19" s="82"/>
      <c r="H19" s="28" t="s">
        <v>84</v>
      </c>
      <c r="I19" s="43" t="s">
        <v>87</v>
      </c>
      <c r="J19" s="33"/>
      <c r="K19" s="39"/>
    </row>
    <row r="20" spans="2:11" x14ac:dyDescent="0.35">
      <c r="B20" t="str">
        <f>B10</f>
        <v>Domestic Equity</v>
      </c>
      <c r="D20" s="33">
        <f>D10/(D$10+D$11)</f>
        <v>0.47286148501953967</v>
      </c>
      <c r="E20" s="40">
        <f t="array" ref="E20:G22">MMULT(MMULT(TRANSPOSE(AggrMat),CovMat),AggrMat)</f>
        <v>2.5207070191836642E-2</v>
      </c>
      <c r="F20" s="40">
        <v>2.3712414900571029E-2</v>
      </c>
      <c r="G20" s="40">
        <v>1.8945860668748596E-3</v>
      </c>
      <c r="H20" s="39">
        <f>HCFracDomEq*EqHC</f>
        <v>0.18750000000000003</v>
      </c>
      <c r="I20" s="42">
        <f>I10</f>
        <v>0.15</v>
      </c>
      <c r="J20" s="33"/>
    </row>
    <row r="21" spans="2:11" x14ac:dyDescent="0.35">
      <c r="B21" t="str">
        <f t="shared" ref="B21:B22" si="11">B11</f>
        <v>International Equity</v>
      </c>
      <c r="D21" s="33">
        <f t="shared" ref="D21" si="12">D11/(D$10+D$11)</f>
        <v>0.52713851498046027</v>
      </c>
      <c r="E21">
        <v>2.3712414900571029E-2</v>
      </c>
      <c r="F21">
        <v>2.9507593701255976E-2</v>
      </c>
      <c r="G21">
        <v>3.5965042612422643E-3</v>
      </c>
      <c r="H21" s="39">
        <f>(1-HCFracDomEq)*EqHC</f>
        <v>6.2499999999999972E-2</v>
      </c>
      <c r="I21" s="42">
        <f t="shared" ref="I21:I22" si="13">I11</f>
        <v>0</v>
      </c>
    </row>
    <row r="22" spans="2:11" x14ac:dyDescent="0.35">
      <c r="B22" t="str">
        <f t="shared" si="11"/>
        <v>Fixed Income</v>
      </c>
      <c r="D22" s="33">
        <v>0</v>
      </c>
      <c r="E22">
        <v>1.8945860668748596E-3</v>
      </c>
      <c r="F22">
        <v>3.5965042612422643E-3</v>
      </c>
      <c r="G22">
        <v>3.1560934879812739E-3</v>
      </c>
      <c r="H22" s="39">
        <f>1-EqHC</f>
        <v>0.75</v>
      </c>
      <c r="I22" s="42">
        <f t="shared" si="13"/>
        <v>0.85000000000000009</v>
      </c>
    </row>
    <row r="23" spans="2:11" x14ac:dyDescent="0.35">
      <c r="D23" s="3"/>
      <c r="E23" s="3"/>
      <c r="F23" s="3"/>
      <c r="G23" s="3"/>
      <c r="H23" s="3"/>
    </row>
    <row r="24" spans="2:11" x14ac:dyDescent="0.35">
      <c r="B24" t="s">
        <v>85</v>
      </c>
      <c r="H24" s="40">
        <f t="array" ref="H24">MMULT(MMULT(TRANSPOSE(EqModel),AggrCovMat),HCModel)</f>
        <v>8.3453505418029355E-3</v>
      </c>
      <c r="I24" s="40">
        <f t="array" ref="I24">MMULT(MMULT(TRANSPOSE(EqModel),AggrCovMat),LiabModel)</f>
        <v>6.0358497651798113E-3</v>
      </c>
    </row>
    <row r="25" spans="2:11" x14ac:dyDescent="0.35">
      <c r="B25" t="s">
        <v>76</v>
      </c>
      <c r="H25" s="33" cm="1">
        <f t="array" ref="H25">DiscRate(CovEqHC,rf,omega)</f>
        <v>3.2895445341720973E-2</v>
      </c>
      <c r="I25" s="33" cm="1">
        <f t="array" ref="I25">DiscRate(CovEqLiab,rf,omega)</f>
        <v>3.0722490481929821E-2</v>
      </c>
    </row>
    <row r="26" spans="2:11" x14ac:dyDescent="0.35">
      <c r="H26" s="33"/>
    </row>
    <row r="27" spans="2:11" x14ac:dyDescent="0.35">
      <c r="H27" s="33"/>
    </row>
    <row r="28" spans="2:11" x14ac:dyDescent="0.35">
      <c r="H28" s="33"/>
    </row>
  </sheetData>
  <mergeCells count="1">
    <mergeCell ref="E19:G1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A65A0-0D67-435A-B1AB-5BB7691A119E}">
  <sheetPr codeName="Sheet7"/>
  <dimension ref="A1:J46"/>
  <sheetViews>
    <sheetView workbookViewId="0">
      <selection activeCell="B21" sqref="B21"/>
    </sheetView>
  </sheetViews>
  <sheetFormatPr defaultRowHeight="14.5" x14ac:dyDescent="0.35"/>
  <cols>
    <col min="1" max="1" width="12.1796875" customWidth="1"/>
  </cols>
  <sheetData>
    <row r="1" spans="1:10" x14ac:dyDescent="0.35">
      <c r="C1" s="83" t="str">
        <f>A3</f>
        <v>Generic</v>
      </c>
      <c r="D1" s="83"/>
      <c r="E1" s="83" t="str">
        <f>A4</f>
        <v>High School</v>
      </c>
      <c r="F1" s="83"/>
      <c r="G1" s="83" t="str">
        <f>A5</f>
        <v>College</v>
      </c>
      <c r="H1" s="83"/>
      <c r="I1" s="83" t="str">
        <f>A6</f>
        <v>Post College</v>
      </c>
      <c r="J1" s="83"/>
    </row>
    <row r="2" spans="1:10" x14ac:dyDescent="0.35">
      <c r="A2" t="s">
        <v>104</v>
      </c>
      <c r="C2" s="24" t="s">
        <v>44</v>
      </c>
      <c r="D2" s="24" t="s">
        <v>45</v>
      </c>
      <c r="E2" s="24" t="str">
        <f>C2</f>
        <v>Male</v>
      </c>
      <c r="F2" s="24" t="str">
        <f t="shared" ref="F2:J2" si="0">D2</f>
        <v>Female</v>
      </c>
      <c r="G2" s="24" t="str">
        <f t="shared" si="0"/>
        <v>Male</v>
      </c>
      <c r="H2" s="24" t="str">
        <f t="shared" si="0"/>
        <v>Female</v>
      </c>
      <c r="I2" s="24" t="str">
        <f t="shared" si="0"/>
        <v>Male</v>
      </c>
      <c r="J2" s="24" t="str">
        <f t="shared" si="0"/>
        <v>Female</v>
      </c>
    </row>
    <row r="3" spans="1:10" x14ac:dyDescent="0.35">
      <c r="A3" t="s">
        <v>27</v>
      </c>
      <c r="C3" s="46">
        <v>7.2762700000000002</v>
      </c>
      <c r="D3" s="46">
        <v>7.3969839999999998</v>
      </c>
      <c r="E3" s="46">
        <v>8.0248229999999996</v>
      </c>
      <c r="F3" s="46">
        <v>9.8421839999999996</v>
      </c>
      <c r="G3" s="46">
        <v>6.7192670000000003</v>
      </c>
      <c r="H3" s="46">
        <v>7.4769940000000004</v>
      </c>
      <c r="I3" s="46">
        <v>6.2236539999999998</v>
      </c>
      <c r="J3" s="46">
        <v>4.3094140000000003</v>
      </c>
    </row>
    <row r="4" spans="1:10" x14ac:dyDescent="0.35">
      <c r="A4" t="s">
        <v>28</v>
      </c>
      <c r="C4" s="46">
        <v>0.236958</v>
      </c>
      <c r="D4" s="46">
        <v>0.25825300000000001</v>
      </c>
      <c r="E4" s="46">
        <v>0.18256600000000001</v>
      </c>
      <c r="F4" s="46">
        <v>4.1650000000000003E-3</v>
      </c>
      <c r="G4" s="46">
        <v>0.29959000000000002</v>
      </c>
      <c r="H4" s="46">
        <v>0.253529</v>
      </c>
      <c r="I4" s="46">
        <v>0.306952</v>
      </c>
      <c r="J4" s="46">
        <v>0.55148699999999995</v>
      </c>
    </row>
    <row r="5" spans="1:10" x14ac:dyDescent="0.35">
      <c r="A5" t="s">
        <v>29</v>
      </c>
      <c r="C5" s="46">
        <v>-0.57540800000000003</v>
      </c>
      <c r="D5" s="46">
        <v>-0.75977399999999995</v>
      </c>
      <c r="E5" s="46">
        <v>-0.52995099999999995</v>
      </c>
      <c r="F5" s="46">
        <v>6.2806000000000001E-2</v>
      </c>
      <c r="G5" s="46">
        <v>-0.77584799999999998</v>
      </c>
      <c r="H5" s="46">
        <v>-0.74651299999999998</v>
      </c>
      <c r="I5" s="46">
        <v>-0.60336800000000002</v>
      </c>
      <c r="J5" s="46">
        <v>-1.7227710000000001</v>
      </c>
    </row>
    <row r="6" spans="1:10" x14ac:dyDescent="0.35">
      <c r="A6" t="s">
        <v>105</v>
      </c>
      <c r="C6" s="46">
        <v>6.5291000000000002E-2</v>
      </c>
      <c r="D6" s="46">
        <v>0.100645</v>
      </c>
      <c r="E6" s="46">
        <v>7.6131000000000004E-2</v>
      </c>
      <c r="F6" s="46">
        <v>-1.5403999999999999E-2</v>
      </c>
      <c r="G6" s="46">
        <v>9.2648999999999995E-2</v>
      </c>
      <c r="H6" s="46">
        <v>0.100216</v>
      </c>
      <c r="I6" s="46">
        <v>4.3638000000000003E-2</v>
      </c>
      <c r="J6" s="46">
        <v>0.24268500000000001</v>
      </c>
    </row>
    <row r="7" spans="1:10" x14ac:dyDescent="0.35">
      <c r="C7" s="46">
        <v>-3.0119999999999999E-3</v>
      </c>
      <c r="D7" s="46">
        <v>-5.097E-3</v>
      </c>
      <c r="E7" s="46">
        <v>-4.3920000000000001E-3</v>
      </c>
      <c r="F7" s="46">
        <v>1.003E-3</v>
      </c>
      <c r="G7" s="46">
        <v>-4.3680000000000004E-3</v>
      </c>
      <c r="H7" s="46">
        <v>-5.176E-3</v>
      </c>
      <c r="I7" s="46">
        <v>-6.8900000000000005E-4</v>
      </c>
      <c r="J7" s="46">
        <v>-1.2938E-2</v>
      </c>
    </row>
    <row r="8" spans="1:10" x14ac:dyDescent="0.35">
      <c r="A8" t="s">
        <v>106</v>
      </c>
    </row>
    <row r="9" spans="1:10" x14ac:dyDescent="0.35">
      <c r="A9" t="s">
        <v>44</v>
      </c>
    </row>
    <row r="10" spans="1:10" x14ac:dyDescent="0.35">
      <c r="A10" t="s">
        <v>45</v>
      </c>
    </row>
    <row r="46" ht="14.15" customHeight="1" x14ac:dyDescent="0.35"/>
  </sheetData>
  <mergeCells count="4">
    <mergeCell ref="C1:D1"/>
    <mergeCell ref="E1:F1"/>
    <mergeCell ref="G1:H1"/>
    <mergeCell ref="I1:J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92805-F0CF-47D7-9DC3-1C169A9F12FC}">
  <sheetPr codeName="Sheet8"/>
  <dimension ref="A1:B34"/>
  <sheetViews>
    <sheetView topLeftCell="A22" workbookViewId="0">
      <selection activeCell="A2" sqref="A2:B34"/>
    </sheetView>
  </sheetViews>
  <sheetFormatPr defaultRowHeight="14.5" x14ac:dyDescent="0.35"/>
  <sheetData>
    <row r="1" spans="1:2" x14ac:dyDescent="0.35">
      <c r="A1" s="28" t="s">
        <v>107</v>
      </c>
      <c r="B1" s="28" t="s">
        <v>108</v>
      </c>
    </row>
    <row r="2" spans="1:2" x14ac:dyDescent="0.35">
      <c r="A2">
        <v>-5</v>
      </c>
      <c r="B2">
        <v>0.7</v>
      </c>
    </row>
    <row r="3" spans="1:2" x14ac:dyDescent="0.35">
      <c r="A3">
        <v>-4</v>
      </c>
      <c r="B3">
        <v>0.75</v>
      </c>
    </row>
    <row r="4" spans="1:2" x14ac:dyDescent="0.35">
      <c r="A4">
        <v>-3</v>
      </c>
      <c r="B4">
        <v>0.8</v>
      </c>
    </row>
    <row r="5" spans="1:2" x14ac:dyDescent="0.35">
      <c r="A5">
        <v>-2</v>
      </c>
      <c r="B5">
        <v>0.8666666666666667</v>
      </c>
    </row>
    <row r="6" spans="1:2" x14ac:dyDescent="0.35">
      <c r="A6">
        <v>-1</v>
      </c>
      <c r="B6">
        <v>0.93333333333333335</v>
      </c>
    </row>
    <row r="7" spans="1:2" x14ac:dyDescent="0.35">
      <c r="A7">
        <v>0</v>
      </c>
      <c r="B7">
        <v>1</v>
      </c>
    </row>
    <row r="8" spans="1:2" x14ac:dyDescent="0.35">
      <c r="A8">
        <v>1</v>
      </c>
      <c r="B8">
        <v>1.08</v>
      </c>
    </row>
    <row r="9" spans="1:2" x14ac:dyDescent="0.35">
      <c r="A9">
        <v>2</v>
      </c>
      <c r="B9">
        <v>1.1599999999999999</v>
      </c>
    </row>
    <row r="10" spans="1:2" x14ac:dyDescent="0.35">
      <c r="A10">
        <v>3</v>
      </c>
      <c r="B10">
        <v>1.24</v>
      </c>
    </row>
    <row r="11" spans="1:2" x14ac:dyDescent="0.35">
      <c r="A11">
        <v>4</v>
      </c>
      <c r="B11">
        <v>1.24</v>
      </c>
    </row>
    <row r="12" spans="1:2" x14ac:dyDescent="0.35">
      <c r="A12">
        <v>5</v>
      </c>
      <c r="B12">
        <v>1.24</v>
      </c>
    </row>
    <row r="13" spans="1:2" x14ac:dyDescent="0.35">
      <c r="A13">
        <v>6</v>
      </c>
      <c r="B13">
        <v>1.24</v>
      </c>
    </row>
    <row r="14" spans="1:2" x14ac:dyDescent="0.35">
      <c r="A14">
        <v>7</v>
      </c>
      <c r="B14">
        <v>1.24</v>
      </c>
    </row>
    <row r="15" spans="1:2" x14ac:dyDescent="0.35">
      <c r="A15">
        <v>8</v>
      </c>
      <c r="B15">
        <v>1.24</v>
      </c>
    </row>
    <row r="16" spans="1:2" x14ac:dyDescent="0.35">
      <c r="A16">
        <v>9</v>
      </c>
      <c r="B16">
        <v>1.24</v>
      </c>
    </row>
    <row r="17" spans="1:2" x14ac:dyDescent="0.35">
      <c r="A17">
        <v>10</v>
      </c>
      <c r="B17">
        <v>1.24</v>
      </c>
    </row>
    <row r="18" spans="1:2" x14ac:dyDescent="0.35">
      <c r="A18">
        <v>11</v>
      </c>
      <c r="B18">
        <v>1.24</v>
      </c>
    </row>
    <row r="19" spans="1:2" x14ac:dyDescent="0.35">
      <c r="A19">
        <v>12</v>
      </c>
      <c r="B19">
        <v>1.24</v>
      </c>
    </row>
    <row r="20" spans="1:2" x14ac:dyDescent="0.35">
      <c r="A20">
        <v>13</v>
      </c>
      <c r="B20">
        <v>1.24</v>
      </c>
    </row>
    <row r="21" spans="1:2" x14ac:dyDescent="0.35">
      <c r="A21">
        <v>14</v>
      </c>
      <c r="B21">
        <v>8</v>
      </c>
    </row>
    <row r="22" spans="1:2" x14ac:dyDescent="0.35">
      <c r="A22">
        <v>15</v>
      </c>
      <c r="B22">
        <v>8</v>
      </c>
    </row>
    <row r="23" spans="1:2" x14ac:dyDescent="0.35">
      <c r="A23">
        <v>16</v>
      </c>
      <c r="B23">
        <v>8</v>
      </c>
    </row>
    <row r="24" spans="1:2" x14ac:dyDescent="0.35">
      <c r="A24">
        <v>17</v>
      </c>
      <c r="B24">
        <v>8</v>
      </c>
    </row>
    <row r="25" spans="1:2" x14ac:dyDescent="0.35">
      <c r="A25">
        <v>18</v>
      </c>
      <c r="B25">
        <v>8</v>
      </c>
    </row>
    <row r="26" spans="1:2" x14ac:dyDescent="0.35">
      <c r="A26">
        <v>19</v>
      </c>
      <c r="B26">
        <v>8</v>
      </c>
    </row>
    <row r="27" spans="1:2" x14ac:dyDescent="0.35">
      <c r="A27">
        <v>20</v>
      </c>
      <c r="B27">
        <v>8</v>
      </c>
    </row>
    <row r="28" spans="1:2" x14ac:dyDescent="0.35">
      <c r="A28">
        <v>21</v>
      </c>
      <c r="B28">
        <v>8</v>
      </c>
    </row>
    <row r="29" spans="1:2" x14ac:dyDescent="0.35">
      <c r="A29">
        <v>22</v>
      </c>
      <c r="B29">
        <v>8</v>
      </c>
    </row>
    <row r="30" spans="1:2" x14ac:dyDescent="0.35">
      <c r="A30">
        <v>23</v>
      </c>
      <c r="B30">
        <v>8</v>
      </c>
    </row>
    <row r="31" spans="1:2" x14ac:dyDescent="0.35">
      <c r="A31">
        <v>24</v>
      </c>
      <c r="B31">
        <v>8</v>
      </c>
    </row>
    <row r="32" spans="1:2" x14ac:dyDescent="0.35">
      <c r="A32">
        <v>25</v>
      </c>
      <c r="B32">
        <v>8</v>
      </c>
    </row>
    <row r="33" spans="1:2" x14ac:dyDescent="0.35">
      <c r="A33">
        <v>26</v>
      </c>
      <c r="B33">
        <v>8</v>
      </c>
    </row>
    <row r="34" spans="1:2" x14ac:dyDescent="0.35">
      <c r="A34">
        <v>27</v>
      </c>
      <c r="B34">
        <v>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18F1C5AD050F4CB2A2302E8AE436D9" ma:contentTypeVersion="11" ma:contentTypeDescription="Create a new document." ma:contentTypeScope="" ma:versionID="c42be87d121d2a3a94291381baac2d66">
  <xsd:schema xmlns:xsd="http://www.w3.org/2001/XMLSchema" xmlns:xs="http://www.w3.org/2001/XMLSchema" xmlns:p="http://schemas.microsoft.com/office/2006/metadata/properties" xmlns:ns3="367bb9aa-1896-4aad-b2c9-b6a92065b4c3" xmlns:ns4="14b8cb26-8d4a-48a1-aa10-daf74356241a" targetNamespace="http://schemas.microsoft.com/office/2006/metadata/properties" ma:root="true" ma:fieldsID="db543e08b72485157ee8dd301e14b64f" ns3:_="" ns4:_="">
    <xsd:import namespace="367bb9aa-1896-4aad-b2c9-b6a92065b4c3"/>
    <xsd:import namespace="14b8cb26-8d4a-48a1-aa10-daf74356241a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4:MediaServiceMetadata" minOccurs="0"/>
                <xsd:element ref="ns4:MediaServiceFastMetadata" minOccurs="0"/>
                <xsd:element ref="ns3:SharedWithDetails" minOccurs="0"/>
                <xsd:element ref="ns3:SharingHintHash" minOccurs="0"/>
                <xsd:element ref="ns4:MediaServiceEventHashCode" minOccurs="0"/>
                <xsd:element ref="ns4:MediaServiceGenerationTime" minOccurs="0"/>
                <xsd:element ref="ns4:MediaServiceAutoTags" minOccurs="0"/>
                <xsd:element ref="ns4:MediaServiceOCR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7bb9aa-1896-4aad-b2c9-b6a92065b4c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b8cb26-8d4a-48a1-aa10-daf7435624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1D37F1-2243-4299-B907-B34B0EA91AB8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367bb9aa-1896-4aad-b2c9-b6a92065b4c3"/>
    <ds:schemaRef ds:uri="http://purl.org/dc/dcmitype/"/>
    <ds:schemaRef ds:uri="http://www.w3.org/XML/1998/namespace"/>
    <ds:schemaRef ds:uri="http://purl.org/dc/elements/1.1/"/>
    <ds:schemaRef ds:uri="http://schemas.microsoft.com/office/2006/metadata/properties"/>
    <ds:schemaRef ds:uri="14b8cb26-8d4a-48a1-aa10-daf74356241a"/>
  </ds:schemaRefs>
</ds:datastoreItem>
</file>

<file path=customXml/itemProps2.xml><?xml version="1.0" encoding="utf-8"?>
<ds:datastoreItem xmlns:ds="http://schemas.openxmlformats.org/officeDocument/2006/customXml" ds:itemID="{EF26E360-DDC1-47F3-80C1-E3837B5337A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0A700B-22A4-4554-A232-C193F58B87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7bb9aa-1896-4aad-b2c9-b6a92065b4c3"/>
    <ds:schemaRef ds:uri="14b8cb26-8d4a-48a1-aa10-daf7435624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61</vt:i4>
      </vt:variant>
    </vt:vector>
  </HeadingPairs>
  <TitlesOfParts>
    <vt:vector size="70" baseType="lpstr">
      <vt:lpstr>WithEmployer Stock</vt:lpstr>
      <vt:lpstr>NoEmployer Stock_5_95</vt:lpstr>
      <vt:lpstr>Overview</vt:lpstr>
      <vt:lpstr>Estimator</vt:lpstr>
      <vt:lpstr>DropDownMenus</vt:lpstr>
      <vt:lpstr>AllocsTab</vt:lpstr>
      <vt:lpstr>CMAs</vt:lpstr>
      <vt:lpstr>SalParamsTab</vt:lpstr>
      <vt:lpstr>SIMultLookUpTab</vt:lpstr>
      <vt:lpstr>ACNames</vt:lpstr>
      <vt:lpstr>age</vt:lpstr>
      <vt:lpstr>AggrCovMat</vt:lpstr>
      <vt:lpstr>AggrMat</vt:lpstr>
      <vt:lpstr>Beq</vt:lpstr>
      <vt:lpstr>BetaC</vt:lpstr>
      <vt:lpstr>Contrib</vt:lpstr>
      <vt:lpstr>CovEqHC</vt:lpstr>
      <vt:lpstr>CovEqLiab</vt:lpstr>
      <vt:lpstr>CovMat</vt:lpstr>
      <vt:lpstr>Delta0</vt:lpstr>
      <vt:lpstr>Educ</vt:lpstr>
      <vt:lpstr>EducLevels</vt:lpstr>
      <vt:lpstr>EqHC</vt:lpstr>
      <vt:lpstr>EqModel</vt:lpstr>
      <vt:lpstr>F0</vt:lpstr>
      <vt:lpstr>FDAllocs</vt:lpstr>
      <vt:lpstr>FILiab</vt:lpstr>
      <vt:lpstr>Flex</vt:lpstr>
      <vt:lpstr>FPAllocs</vt:lpstr>
      <vt:lpstr>gamma</vt:lpstr>
      <vt:lpstr>Genders</vt:lpstr>
      <vt:lpstr>h</vt:lpstr>
      <vt:lpstr>H0</vt:lpstr>
      <vt:lpstr>HCFracDomEq</vt:lpstr>
      <vt:lpstr>HCModel</vt:lpstr>
      <vt:lpstr>HDAllocs</vt:lpstr>
      <vt:lpstr>InvParams</vt:lpstr>
      <vt:lpstr>kc</vt:lpstr>
      <vt:lpstr>ky</vt:lpstr>
      <vt:lpstr>L0</vt:lpstr>
      <vt:lpstr>LDAllocs</vt:lpstr>
      <vt:lpstr>LiabModel</vt:lpstr>
      <vt:lpstr>MatchPerc</vt:lpstr>
      <vt:lpstr>MaxBeq</vt:lpstr>
      <vt:lpstr>MaxConsump</vt:lpstr>
      <vt:lpstr>MuRef</vt:lpstr>
      <vt:lpstr>NondiscConsump</vt:lpstr>
      <vt:lpstr>omega</vt:lpstr>
      <vt:lpstr>phi</vt:lpstr>
      <vt:lpstr>PhiCMAs</vt:lpstr>
      <vt:lpstr>PriceLI</vt:lpstr>
      <vt:lpstr>PVNondiscConsump</vt:lpstr>
      <vt:lpstr>RefPort</vt:lpstr>
      <vt:lpstr>retireAge</vt:lpstr>
      <vt:lpstr>rf</vt:lpstr>
      <vt:lpstr>RiskHC</vt:lpstr>
      <vt:lpstr>RiskTol</vt:lpstr>
      <vt:lpstr>RiskyHC</vt:lpstr>
      <vt:lpstr>Salary</vt:lpstr>
      <vt:lpstr>SalCoefs</vt:lpstr>
      <vt:lpstr>sex</vt:lpstr>
      <vt:lpstr>SIMultLookUp</vt:lpstr>
      <vt:lpstr>Stds</vt:lpstr>
      <vt:lpstr>StrengthBeq</vt:lpstr>
      <vt:lpstr>SubjLifeExp</vt:lpstr>
      <vt:lpstr>theta</vt:lpstr>
      <vt:lpstr>VarRefPort</vt:lpstr>
      <vt:lpstr>W0</vt:lpstr>
      <vt:lpstr>WDAllocs</vt:lpstr>
      <vt:lpstr>WPAllocs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Idzorek</dc:creator>
  <cp:keywords/>
  <dc:description/>
  <cp:lastModifiedBy>Island Mastara</cp:lastModifiedBy>
  <cp:revision/>
  <dcterms:created xsi:type="dcterms:W3CDTF">2022-08-05T18:28:47Z</dcterms:created>
  <dcterms:modified xsi:type="dcterms:W3CDTF">2025-01-29T18:26:49Z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0x0101007F18F1C5AD050F4CB2A2302E8AE436D9</vt:lpwstr>
  </property>
</Properties>
</file>